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muelkwon/Desktop/Undergrad/CHEN 4520 Chemical Process Synthesis/Final Design /Excel/"/>
    </mc:Choice>
  </mc:AlternateContent>
  <xr:revisionPtr revIDLastSave="0" documentId="8_{7797B896-F09E-484D-90CD-82F6097A8416}" xr6:coauthVersionLast="47" xr6:coauthVersionMax="47" xr10:uidLastSave="{00000000-0000-0000-0000-000000000000}"/>
  <bookViews>
    <workbookView xWindow="0" yWindow="740" windowWidth="29400" windowHeight="16900" activeTab="3" xr2:uid="{00000000-000D-0000-FFFF-FFFF00000000}"/>
  </bookViews>
  <sheets>
    <sheet name="Material Balances" sheetId="1" r:id="rId1"/>
    <sheet name="Column" sheetId="2" r:id="rId2"/>
    <sheet name="Pumps" sheetId="3" r:id="rId3"/>
    <sheet name="HX" sheetId="5" r:id="rId4"/>
  </sheets>
  <definedNames>
    <definedName name="solver_adj" localSheetId="1" hidden="1">Column!$B$89</definedName>
    <definedName name="solver_adj" localSheetId="0" hidden="1">'Material Balances'!$K$140</definedName>
    <definedName name="solver_cvg" localSheetId="1" hidden="1">0.0001</definedName>
    <definedName name="solver_cvg" localSheetId="0" hidden="1">0.0001</definedName>
    <definedName name="solver_drv" localSheetId="1" hidden="1">1</definedName>
    <definedName name="solver_drv" localSheetId="0" hidden="1">1</definedName>
    <definedName name="solver_eng" localSheetId="1" hidden="1">1</definedName>
    <definedName name="solver_eng" localSheetId="0" hidden="1">1</definedName>
    <definedName name="solver_itr" localSheetId="1" hidden="1">2147483647</definedName>
    <definedName name="solver_itr" localSheetId="0" hidden="1">2147483647</definedName>
    <definedName name="solver_lin" localSheetId="1" hidden="1">2</definedName>
    <definedName name="solver_lin" localSheetId="0" hidden="1">2</definedName>
    <definedName name="solver_mip" localSheetId="1" hidden="1">2147483647</definedName>
    <definedName name="solver_mip" localSheetId="0" hidden="1">2147483647</definedName>
    <definedName name="solver_mni" localSheetId="1" hidden="1">30</definedName>
    <definedName name="solver_mni" localSheetId="0" hidden="1">30</definedName>
    <definedName name="solver_mrt" localSheetId="1" hidden="1">0.075</definedName>
    <definedName name="solver_mrt" localSheetId="0" hidden="1">0.075</definedName>
    <definedName name="solver_msl" localSheetId="1" hidden="1">2</definedName>
    <definedName name="solver_msl" localSheetId="0" hidden="1">2</definedName>
    <definedName name="solver_neg" localSheetId="1" hidden="1">1</definedName>
    <definedName name="solver_neg" localSheetId="0" hidden="1">1</definedName>
    <definedName name="solver_nod" localSheetId="1" hidden="1">2147483647</definedName>
    <definedName name="solver_nod" localSheetId="0" hidden="1">2147483647</definedName>
    <definedName name="solver_num" localSheetId="1" hidden="1">0</definedName>
    <definedName name="solver_num" localSheetId="0" hidden="1">0</definedName>
    <definedName name="solver_opt" localSheetId="1" hidden="1">Column!$B$88</definedName>
    <definedName name="solver_opt" localSheetId="0" hidden="1">'Material Balances'!$K$147</definedName>
    <definedName name="solver_pre" localSheetId="1" hidden="1">0.000001</definedName>
    <definedName name="solver_pre" localSheetId="0" hidden="1">0.000001</definedName>
    <definedName name="solver_rbv" localSheetId="1" hidden="1">1</definedName>
    <definedName name="solver_rbv" localSheetId="0" hidden="1">1</definedName>
    <definedName name="solver_rlx" localSheetId="1" hidden="1">1</definedName>
    <definedName name="solver_rlx" localSheetId="0" hidden="1">2</definedName>
    <definedName name="solver_rsd" localSheetId="1" hidden="1">0</definedName>
    <definedName name="solver_rsd" localSheetId="0" hidden="1">0</definedName>
    <definedName name="solver_scl" localSheetId="1" hidden="1">2</definedName>
    <definedName name="solver_scl" localSheetId="0" hidden="1">1</definedName>
    <definedName name="solver_sho" localSheetId="1" hidden="1">2</definedName>
    <definedName name="solver_sho" localSheetId="0" hidden="1">2</definedName>
    <definedName name="solver_ssz" localSheetId="1" hidden="1">100</definedName>
    <definedName name="solver_ssz" localSheetId="0" hidden="1">100</definedName>
    <definedName name="solver_tim" localSheetId="1" hidden="1">2147483647</definedName>
    <definedName name="solver_tim" localSheetId="0" hidden="1">2147483647</definedName>
    <definedName name="solver_tol" localSheetId="1" hidden="1">0.01</definedName>
    <definedName name="solver_tol" localSheetId="0" hidden="1">0.01</definedName>
    <definedName name="solver_typ" localSheetId="1" hidden="1">3</definedName>
    <definedName name="solver_typ" localSheetId="0" hidden="1">3</definedName>
    <definedName name="solver_val" localSheetId="1" hidden="1">7</definedName>
    <definedName name="solver_val" localSheetId="0" hidden="1">56500000</definedName>
    <definedName name="solver_ver" localSheetId="1" hidden="1">2</definedName>
    <definedName name="solver_ver" localSheetId="0" hidden="1">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46" i="3" l="1"/>
  <c r="AC36" i="3"/>
  <c r="N34" i="3"/>
  <c r="N41" i="3" s="1"/>
  <c r="L28" i="3"/>
  <c r="I53" i="1" l="1"/>
  <c r="N51" i="3"/>
  <c r="J104" i="1" l="1"/>
  <c r="H30" i="2"/>
  <c r="G24" i="2"/>
  <c r="F9" i="2"/>
  <c r="L111" i="1"/>
  <c r="W57" i="5"/>
  <c r="W56" i="5"/>
  <c r="W54" i="5"/>
  <c r="W51" i="5"/>
  <c r="W49" i="5"/>
  <c r="W48" i="5"/>
  <c r="W40" i="5"/>
  <c r="W39" i="5"/>
  <c r="W23" i="5"/>
  <c r="W22" i="5"/>
  <c r="W24" i="5" s="1"/>
  <c r="W20" i="5"/>
  <c r="W19" i="5"/>
  <c r="W21" i="5" l="1"/>
  <c r="W41" i="5" s="1"/>
  <c r="W38" i="5" s="1"/>
  <c r="Y38" i="5" s="1"/>
  <c r="W46" i="5"/>
  <c r="Y46" i="5" s="1"/>
  <c r="W47" i="5"/>
  <c r="Y47" i="5" s="1"/>
  <c r="C43" i="5"/>
  <c r="G129" i="2"/>
  <c r="W43" i="5" l="1"/>
  <c r="W58" i="5" s="1"/>
  <c r="W59" i="5" s="1"/>
  <c r="P20" i="5" l="1"/>
  <c r="P52" i="5"/>
  <c r="P51" i="5"/>
  <c r="P49" i="5"/>
  <c r="P50" i="5"/>
  <c r="P24" i="5"/>
  <c r="P23" i="5"/>
  <c r="P21" i="5"/>
  <c r="P58" i="5"/>
  <c r="P57" i="5" s="1"/>
  <c r="P55" i="5"/>
  <c r="P42" i="5"/>
  <c r="P41" i="5"/>
  <c r="P33" i="5"/>
  <c r="P40" i="5" s="1"/>
  <c r="P48" i="5" l="1"/>
  <c r="P47" i="5"/>
  <c r="P39" i="5"/>
  <c r="R39" i="5" s="1"/>
  <c r="P44" i="5" s="1"/>
  <c r="P22" i="5"/>
  <c r="P25" i="5"/>
  <c r="P59" i="5"/>
  <c r="R48" i="5"/>
  <c r="R47" i="5"/>
  <c r="P60" i="5" l="1"/>
  <c r="C57" i="5"/>
  <c r="C40" i="5"/>
  <c r="C56" i="5"/>
  <c r="C54" i="5"/>
  <c r="C58" i="5" l="1"/>
  <c r="C51" i="5"/>
  <c r="C49" i="5"/>
  <c r="C48" i="5"/>
  <c r="C41" i="5" l="1"/>
  <c r="C32" i="5"/>
  <c r="C39" i="5" s="1"/>
  <c r="C46" i="5" l="1"/>
  <c r="E46" i="5" s="1"/>
  <c r="C59" i="5" s="1"/>
  <c r="C38" i="5"/>
  <c r="C47" i="5"/>
  <c r="E47" i="5" s="1"/>
  <c r="C23" i="5"/>
  <c r="C22" i="5"/>
  <c r="C24" i="5" s="1"/>
  <c r="C19" i="5"/>
  <c r="C20" i="5"/>
  <c r="C21" i="5" l="1"/>
  <c r="G115" i="2" l="1"/>
  <c r="G113" i="2"/>
  <c r="G117" i="2"/>
  <c r="G114" i="2" s="1"/>
  <c r="G110" i="2" l="1"/>
  <c r="B142" i="2"/>
  <c r="B145" i="2" s="1"/>
  <c r="B91" i="2" l="1"/>
  <c r="D136" i="2" l="1"/>
  <c r="D135" i="2"/>
  <c r="B135" i="2"/>
  <c r="B134" i="2"/>
  <c r="D134" i="2" s="1"/>
  <c r="B127" i="2"/>
  <c r="R132" i="2"/>
  <c r="Q132" i="2"/>
  <c r="B126" i="2" s="1"/>
  <c r="B125" i="2" s="1"/>
  <c r="G124" i="2" s="1"/>
  <c r="G123" i="2" s="1"/>
  <c r="G108" i="2" l="1"/>
  <c r="L138" i="2"/>
  <c r="B50" i="2"/>
  <c r="B120" i="2" l="1"/>
  <c r="B131" i="2" l="1"/>
  <c r="C131" i="2" s="1"/>
  <c r="B138" i="2" s="1"/>
  <c r="B92" i="2"/>
  <c r="X37" i="2"/>
  <c r="C74" i="2"/>
  <c r="C75" i="2"/>
  <c r="C76" i="2"/>
  <c r="C73" i="2"/>
  <c r="B74" i="2"/>
  <c r="B75" i="2"/>
  <c r="B76" i="2"/>
  <c r="B73" i="2"/>
  <c r="B66" i="2"/>
  <c r="B65" i="2"/>
  <c r="B84" i="2" s="1"/>
  <c r="B64" i="2"/>
  <c r="B57" i="2"/>
  <c r="B56" i="2"/>
  <c r="B55" i="2"/>
  <c r="B54" i="2"/>
  <c r="C15" i="2"/>
  <c r="D15" i="2"/>
  <c r="H15" i="2"/>
  <c r="I15" i="2"/>
  <c r="F14" i="2"/>
  <c r="G14" i="2"/>
  <c r="E10" i="2"/>
  <c r="E11" i="2"/>
  <c r="E12" i="2"/>
  <c r="E13" i="2"/>
  <c r="E9" i="2"/>
  <c r="C30" i="2"/>
  <c r="D30" i="2"/>
  <c r="E30" i="2"/>
  <c r="I30" i="2"/>
  <c r="B30" i="2"/>
  <c r="F29" i="2"/>
  <c r="G29" i="2"/>
  <c r="I3" i="2"/>
  <c r="S47" i="1"/>
  <c r="S31" i="1"/>
  <c r="S32" i="1" s="1"/>
  <c r="S35" i="1"/>
  <c r="S34" i="1"/>
  <c r="U29" i="1"/>
  <c r="K120" i="1"/>
  <c r="I18" i="1"/>
  <c r="B67" i="2" l="1"/>
  <c r="B68" i="2" s="1"/>
  <c r="D55" i="2" s="1"/>
  <c r="B83" i="2"/>
  <c r="E15" i="2"/>
  <c r="B44" i="1"/>
  <c r="I20" i="1"/>
  <c r="H27" i="1" s="1"/>
  <c r="N21" i="3"/>
  <c r="N22" i="3"/>
  <c r="AC43" i="3"/>
  <c r="AC23" i="3"/>
  <c r="AC33" i="3"/>
  <c r="AC40" i="3" s="1"/>
  <c r="AC24" i="3"/>
  <c r="AC21" i="3"/>
  <c r="N88" i="3"/>
  <c r="N81" i="3"/>
  <c r="N91" i="3"/>
  <c r="N78" i="3"/>
  <c r="N85" i="3" s="1"/>
  <c r="M75" i="3"/>
  <c r="L75" i="3" s="1"/>
  <c r="N69" i="3"/>
  <c r="N68" i="3"/>
  <c r="N66" i="3"/>
  <c r="N44" i="3"/>
  <c r="N19" i="3"/>
  <c r="N23" i="3" s="1"/>
  <c r="M26" i="3" s="1"/>
  <c r="N31" i="3"/>
  <c r="N38" i="3" s="1"/>
  <c r="B88" i="2" l="1"/>
  <c r="B93" i="2"/>
  <c r="B94" i="2" s="1"/>
  <c r="B98" i="2" s="1"/>
  <c r="N42" i="3"/>
  <c r="N45" i="3" s="1"/>
  <c r="L26" i="3"/>
  <c r="AC38" i="3"/>
  <c r="J27" i="1"/>
  <c r="H28" i="1"/>
  <c r="AC25" i="3"/>
  <c r="N70" i="3"/>
  <c r="M73" i="3" s="1"/>
  <c r="N83" i="3"/>
  <c r="N36" i="3"/>
  <c r="R36" i="3" s="1"/>
  <c r="S36" i="3" s="1"/>
  <c r="C40" i="2"/>
  <c r="N89" i="3" l="1"/>
  <c r="N92" i="3" s="1"/>
  <c r="L73" i="3"/>
  <c r="AB28" i="3"/>
  <c r="AC44" i="3" s="1"/>
  <c r="AC47" i="3" s="1"/>
  <c r="G28" i="2"/>
  <c r="F28" i="2"/>
  <c r="G27" i="2"/>
  <c r="F27" i="2"/>
  <c r="G26" i="2"/>
  <c r="F26" i="2"/>
  <c r="G25" i="2"/>
  <c r="F25" i="2"/>
  <c r="F24" i="2"/>
  <c r="G10" i="2"/>
  <c r="B61" i="2" s="1"/>
  <c r="G11" i="2"/>
  <c r="G12" i="2"/>
  <c r="G13" i="2"/>
  <c r="G9" i="2"/>
  <c r="B60" i="2" s="1"/>
  <c r="F10" i="2"/>
  <c r="B59" i="2" s="1"/>
  <c r="F11" i="2"/>
  <c r="F12" i="2"/>
  <c r="F13" i="2"/>
  <c r="B58" i="2"/>
  <c r="D54" i="2" l="1"/>
  <c r="D56" i="2" s="1"/>
  <c r="G15" i="2"/>
  <c r="F15" i="2"/>
  <c r="F30" i="2"/>
  <c r="G30" i="2"/>
  <c r="I45" i="1" l="1"/>
  <c r="G51" i="1"/>
  <c r="I50" i="1"/>
  <c r="I51" i="1" s="1"/>
  <c r="M63" i="1"/>
  <c r="H70" i="1"/>
  <c r="C19" i="1"/>
  <c r="J116" i="1"/>
  <c r="J107" i="1"/>
  <c r="J108" i="1" s="1"/>
  <c r="J109" i="1" s="1"/>
  <c r="J110" i="1" s="1"/>
  <c r="J105" i="1"/>
  <c r="J103" i="1"/>
  <c r="M69" i="1"/>
  <c r="M68" i="1"/>
  <c r="M66" i="1"/>
  <c r="M65" i="1"/>
  <c r="M64" i="1"/>
  <c r="B43" i="1"/>
  <c r="O25" i="1"/>
  <c r="Y23" i="1"/>
  <c r="N25" i="1" s="1"/>
  <c r="I21" i="1"/>
  <c r="K21" i="1" s="1"/>
  <c r="K20" i="1"/>
  <c r="B19" i="1"/>
  <c r="B15" i="1"/>
  <c r="A51" i="1" s="1"/>
  <c r="B14" i="1"/>
  <c r="B13" i="1"/>
  <c r="C13" i="1" s="1"/>
  <c r="B46" i="1" s="1"/>
  <c r="B12" i="1"/>
  <c r="L110" i="1" l="1"/>
  <c r="J111" i="1"/>
  <c r="J112" i="1" s="1"/>
  <c r="J113" i="1" s="1"/>
  <c r="H71" i="1"/>
  <c r="H86" i="1" s="1"/>
  <c r="H87" i="1"/>
  <c r="B47" i="1"/>
  <c r="B45" i="1"/>
  <c r="I22" i="1"/>
  <c r="B48" i="1"/>
  <c r="I23" i="1"/>
  <c r="H41" i="1" s="1"/>
  <c r="G45" i="1" s="1"/>
  <c r="I25" i="1"/>
  <c r="K25" i="1" s="1"/>
  <c r="I70" i="1"/>
  <c r="C15" i="1"/>
  <c r="B17" i="1"/>
  <c r="C17" i="1" s="1"/>
  <c r="H30" i="1"/>
  <c r="H32" i="1" s="1"/>
  <c r="H97" i="1"/>
  <c r="C88" i="1" s="1"/>
  <c r="D88" i="1" s="1"/>
  <c r="H29" i="1"/>
  <c r="I24" i="1"/>
  <c r="H36" i="1" l="1"/>
  <c r="H38" i="1" s="1"/>
  <c r="B49" i="1"/>
  <c r="J31" i="1"/>
  <c r="H42" i="1"/>
  <c r="G49" i="1" s="1"/>
  <c r="K22" i="1"/>
  <c r="I41" i="1"/>
  <c r="M112" i="1"/>
  <c r="H68" i="1"/>
  <c r="I68" i="1" s="1"/>
  <c r="H89" i="1"/>
  <c r="J87" i="1"/>
  <c r="K23" i="1"/>
  <c r="J86" i="1"/>
  <c r="H88" i="1"/>
  <c r="H31" i="1"/>
  <c r="N31" i="1" s="1"/>
  <c r="J30" i="1"/>
  <c r="H33" i="1"/>
  <c r="H35" i="1" s="1"/>
  <c r="K24" i="1"/>
  <c r="G46" i="1"/>
  <c r="H37" i="1"/>
  <c r="J36" i="1"/>
  <c r="G47" i="1" s="1"/>
  <c r="J97" i="1"/>
  <c r="H99" i="1"/>
  <c r="G101" i="1" s="1"/>
  <c r="G102" i="1" s="1"/>
  <c r="H98" i="1"/>
  <c r="H69" i="1" l="1"/>
  <c r="I42" i="1"/>
  <c r="H66" i="1"/>
  <c r="E47" i="1"/>
  <c r="J33" i="1"/>
  <c r="H34" i="1"/>
  <c r="G48" i="1" s="1"/>
  <c r="H67" i="1" s="1"/>
  <c r="I67" i="1" s="1"/>
  <c r="H78" i="1" s="1"/>
  <c r="H100" i="1"/>
  <c r="G103" i="1" s="1"/>
  <c r="G104" i="1" s="1"/>
  <c r="J98" i="1"/>
  <c r="G105" i="1" s="1"/>
  <c r="G106" i="1" s="1"/>
  <c r="J28" i="1"/>
  <c r="N30" i="1"/>
  <c r="I69" i="1"/>
  <c r="I71" i="1" s="1"/>
  <c r="L29" i="1" l="1"/>
  <c r="J78" i="1"/>
  <c r="H79" i="1"/>
  <c r="H82" i="1"/>
  <c r="I66" i="1"/>
  <c r="H81" i="1"/>
  <c r="J81" i="1" s="1"/>
  <c r="J82" i="1" l="1"/>
  <c r="K81" i="1"/>
  <c r="N37" i="1"/>
  <c r="J79" i="1"/>
  <c r="J80" i="1" s="1"/>
  <c r="J117" i="1"/>
  <c r="J118" i="1" s="1"/>
  <c r="H58" i="1"/>
  <c r="H64" i="1"/>
  <c r="N21" i="1" s="1"/>
  <c r="O21" i="1" s="1"/>
  <c r="N22" i="1" s="1"/>
  <c r="H65" i="1" l="1"/>
  <c r="N35" i="1" s="1"/>
  <c r="H72" i="1"/>
  <c r="M62" i="1" s="1"/>
  <c r="M70" i="1" s="1"/>
  <c r="J39" i="1"/>
  <c r="G44" i="1" s="1"/>
  <c r="B20" i="1"/>
  <c r="N23" i="1"/>
  <c r="H40" i="1"/>
  <c r="J40" i="1"/>
  <c r="G50" i="1" s="1"/>
  <c r="I48" i="1" l="1"/>
  <c r="I65" i="1"/>
  <c r="M67" i="1"/>
  <c r="I64" i="1"/>
  <c r="G52" i="1"/>
  <c r="G54" i="1" s="1"/>
  <c r="G55" i="1" s="1"/>
  <c r="N34" i="1"/>
  <c r="H92" i="1" l="1"/>
  <c r="H93" i="1" s="1"/>
  <c r="C89" i="1" s="1"/>
  <c r="D89" i="1" s="1"/>
  <c r="I72" i="1"/>
  <c r="N36" i="1"/>
  <c r="O36" i="1" s="1"/>
  <c r="J92" i="1"/>
  <c r="K96" i="1" s="1"/>
  <c r="K97" i="1" s="1"/>
  <c r="H94" i="1"/>
  <c r="G107" i="1" s="1"/>
  <c r="G108" i="1" s="1"/>
  <c r="G109" i="1" s="1"/>
  <c r="N38" i="1" l="1"/>
  <c r="N39" i="1"/>
  <c r="J102" i="1"/>
  <c r="H103" i="1"/>
  <c r="H104" i="1" s="1"/>
  <c r="B21" i="1"/>
  <c r="O38" i="1" l="1"/>
  <c r="N40" i="1"/>
</calcChain>
</file>

<file path=xl/sharedStrings.xml><?xml version="1.0" encoding="utf-8"?>
<sst xmlns="http://schemas.openxmlformats.org/spreadsheetml/2006/main" count="1101" uniqueCount="470">
  <si>
    <t>Overall Production</t>
  </si>
  <si>
    <t>gallon of methanol per year</t>
  </si>
  <si>
    <t>Methanol Product Stream</t>
  </si>
  <si>
    <t>methanol mole fraction</t>
  </si>
  <si>
    <t>Downstream Solar (t)</t>
  </si>
  <si>
    <t>Upstream Solar (t)</t>
  </si>
  <si>
    <t>hours per day (365/ year)</t>
  </si>
  <si>
    <t>Downstream Solar tot hrs</t>
  </si>
  <si>
    <t>per year</t>
  </si>
  <si>
    <t xml:space="preserve">Component </t>
  </si>
  <si>
    <t>wt%</t>
  </si>
  <si>
    <t xml:space="preserve">Cellulose </t>
  </si>
  <si>
    <t xml:space="preserve">Lignin </t>
  </si>
  <si>
    <t xml:space="preserve">Ash </t>
  </si>
  <si>
    <t xml:space="preserve">N/N2 </t>
  </si>
  <si>
    <t>S</t>
  </si>
  <si>
    <t>Cl/Cl2</t>
  </si>
  <si>
    <t>CH4</t>
  </si>
  <si>
    <t>C6H10O5 (cellulose) + H2O → 6 CO + 6 H2</t>
  </si>
  <si>
    <t>C10H12O3 (lignin) + 7 H2O → 10 CO + 13 H2</t>
  </si>
  <si>
    <t>S + H2 → H2S </t>
  </si>
  <si>
    <t>Cl2 + H2 → 2 HCl  </t>
  </si>
  <si>
    <t>CH4 + H2O → CO + 3 H2  </t>
  </si>
  <si>
    <t xml:space="preserve">xA_cellouse </t>
  </si>
  <si>
    <t xml:space="preserve">xA_Lignin </t>
  </si>
  <si>
    <t>xA_S</t>
  </si>
  <si>
    <t>xA_Cl2</t>
  </si>
  <si>
    <t>xA_CH4</t>
  </si>
  <si>
    <t>Conversions Solar Reactor</t>
  </si>
  <si>
    <t>Conversions ZnO bed</t>
  </si>
  <si>
    <t>RXNs Solar</t>
  </si>
  <si>
    <t>RXNs ZnO bed</t>
  </si>
  <si>
    <t>ZnO (s) + 2HCl → ZnCl2 (s) + H2O</t>
  </si>
  <si>
    <t>xA_H2S</t>
  </si>
  <si>
    <t>xA_HCl</t>
  </si>
  <si>
    <t>RXNs Raw M</t>
  </si>
  <si>
    <t>CO2 + H2 → CO + H2O</t>
  </si>
  <si>
    <t>CO + 2 H2 → CH3OH  </t>
  </si>
  <si>
    <t>CO2 + 3 H2 → CH3OH + H2O</t>
  </si>
  <si>
    <t>xA_CO2</t>
  </si>
  <si>
    <t>xA_CO</t>
  </si>
  <si>
    <t>Feed</t>
  </si>
  <si>
    <t>waste biomass</t>
  </si>
  <si>
    <t xml:space="preserve">methane </t>
  </si>
  <si>
    <t>water</t>
  </si>
  <si>
    <t>RXN #</t>
  </si>
  <si>
    <t>Extent of rxn</t>
  </si>
  <si>
    <t>RXN # 1</t>
  </si>
  <si>
    <t>RXN # 2</t>
  </si>
  <si>
    <t>RXN # 3</t>
  </si>
  <si>
    <t>RXN # 4</t>
  </si>
  <si>
    <t>RXN # 5</t>
  </si>
  <si>
    <t>RXN # 6</t>
  </si>
  <si>
    <t>RXN # 7</t>
  </si>
  <si>
    <t>RXN # 8</t>
  </si>
  <si>
    <t>C6H10O5 (cellulose)</t>
  </si>
  <si>
    <t>H2O </t>
  </si>
  <si>
    <t> CO</t>
  </si>
  <si>
    <t>H2</t>
  </si>
  <si>
    <t>C10H12O3 (lignin) </t>
  </si>
  <si>
    <t>H2S</t>
  </si>
  <si>
    <t>Cl2</t>
  </si>
  <si>
    <t>HCl</t>
  </si>
  <si>
    <t>ZnO</t>
  </si>
  <si>
    <t>ZnS</t>
  </si>
  <si>
    <t>ZnCl2</t>
  </si>
  <si>
    <t>CH3OH</t>
  </si>
  <si>
    <t>CO2</t>
  </si>
  <si>
    <t xml:space="preserve">Stoichiometry </t>
  </si>
  <si>
    <t>N/A</t>
  </si>
  <si>
    <t>-</t>
  </si>
  <si>
    <t>RXN # 9</t>
  </si>
  <si>
    <t>RXN # 10</t>
  </si>
  <si>
    <t xml:space="preserve">Species </t>
  </si>
  <si>
    <t>BIOMASS</t>
  </si>
  <si>
    <t>MW (g/mol)</t>
  </si>
  <si>
    <t>Scaled MW</t>
  </si>
  <si>
    <t>N/N2</t>
  </si>
  <si>
    <t>SOLAR REACTOR BALANCE</t>
  </si>
  <si>
    <t>BIOMASS FLOWRATE ASSUMPTION</t>
  </si>
  <si>
    <t>RXN 1</t>
  </si>
  <si>
    <t>MASS FLOWRATES</t>
  </si>
  <si>
    <t>Species</t>
  </si>
  <si>
    <t>Cl (Cl2)</t>
  </si>
  <si>
    <t>N (N2)</t>
  </si>
  <si>
    <t>MOLAR FLOWRATE</t>
  </si>
  <si>
    <t>IN</t>
  </si>
  <si>
    <t>OUT</t>
  </si>
  <si>
    <t>6*CO</t>
  </si>
  <si>
    <t xml:space="preserve">6*H2 </t>
  </si>
  <si>
    <t>RXN 2</t>
  </si>
  <si>
    <t>RXN 3</t>
  </si>
  <si>
    <t>RXN 4</t>
  </si>
  <si>
    <t>RXN 5</t>
  </si>
  <si>
    <t>7*H2O </t>
  </si>
  <si>
    <t>10*CO</t>
  </si>
  <si>
    <t>13*H2</t>
  </si>
  <si>
    <t xml:space="preserve">H2S </t>
  </si>
  <si>
    <t xml:space="preserve">CL2 </t>
  </si>
  <si>
    <t>2*HCl</t>
  </si>
  <si>
    <t xml:space="preserve">CH4 </t>
  </si>
  <si>
    <t xml:space="preserve">CO </t>
  </si>
  <si>
    <t>3*H2</t>
  </si>
  <si>
    <t>* H2/CO = 2</t>
  </si>
  <si>
    <t>* Methane can be figured out after water calcs</t>
  </si>
  <si>
    <t>Water-Gas Shift Balance/Reqs</t>
  </si>
  <si>
    <t>CO + H2O &lt;-&gt; CO2 + H2</t>
  </si>
  <si>
    <t xml:space="preserve">INLETS (STREAM 3) </t>
  </si>
  <si>
    <t xml:space="preserve">H2O </t>
  </si>
  <si>
    <t>*CO,IN = CO,OUT</t>
  </si>
  <si>
    <t>RXN 5, METHANE MOLAR FLOW RATE, H2/CO = 2</t>
  </si>
  <si>
    <t>1 TO 1 STOICH, 100% Xa</t>
  </si>
  <si>
    <t xml:space="preserve">Approach 1: Calculate equilibrium constant with -&gt; </t>
  </si>
  <si>
    <t xml:space="preserve">Keq </t>
  </si>
  <si>
    <t xml:space="preserve">Approach 2: Calculate equilibrium constant with -&gt; </t>
  </si>
  <si>
    <t xml:space="preserve">*Knowing that the reactor is kept at 800 C --&gt; </t>
  </si>
  <si>
    <t>mission aborted, previous extent is sufficient</t>
  </si>
  <si>
    <t xml:space="preserve">Water Reqs </t>
  </si>
  <si>
    <t xml:space="preserve">Tot Molar Flowrate </t>
  </si>
  <si>
    <t>CO</t>
  </si>
  <si>
    <t xml:space="preserve">N (N2) </t>
  </si>
  <si>
    <t xml:space="preserve">Cl (Cl2) </t>
  </si>
  <si>
    <t xml:space="preserve">HCl </t>
  </si>
  <si>
    <t>N</t>
  </si>
  <si>
    <t>H2O</t>
  </si>
  <si>
    <t xml:space="preserve">BIOMASS </t>
  </si>
  <si>
    <t xml:space="preserve">N </t>
  </si>
  <si>
    <t>-&gt; adjusted value to fit ratio</t>
  </si>
  <si>
    <t>Mole fraction</t>
  </si>
  <si>
    <t xml:space="preserve">TOT </t>
  </si>
  <si>
    <t xml:space="preserve">H2 </t>
  </si>
  <si>
    <t>OUTLETS</t>
  </si>
  <si>
    <t xml:space="preserve">rxn 6 </t>
  </si>
  <si>
    <t>TOT WATER,IN</t>
  </si>
  <si>
    <t>H2O/BIOMASS</t>
  </si>
  <si>
    <t>More H2O needed</t>
  </si>
  <si>
    <t>H2O + Extra</t>
  </si>
  <si>
    <t xml:space="preserve">* maybe add recycle stream? </t>
  </si>
  <si>
    <t xml:space="preserve">g/hr </t>
  </si>
  <si>
    <t xml:space="preserve">mol/hr </t>
  </si>
  <si>
    <t>mol/hr</t>
  </si>
  <si>
    <t xml:space="preserve">Corresponding Mass Flowrate (g/hr) </t>
  </si>
  <si>
    <t xml:space="preserve">ZnO Bed Balance </t>
  </si>
  <si>
    <t xml:space="preserve">ZnO </t>
  </si>
  <si>
    <t xml:space="preserve"> flow rate (mol/hr)</t>
  </si>
  <si>
    <t>Raw Methanol Balance</t>
  </si>
  <si>
    <t xml:space="preserve">CO2 </t>
  </si>
  <si>
    <t>AFTER RXN, W/ xA</t>
  </si>
  <si>
    <t xml:space="preserve">2 *H2 </t>
  </si>
  <si>
    <t xml:space="preserve">Ch3OH </t>
  </si>
  <si>
    <t xml:space="preserve">CH3OH </t>
  </si>
  <si>
    <t>CH3OH FINAL MOLE FRAC</t>
  </si>
  <si>
    <t>CH3OH, tot</t>
  </si>
  <si>
    <t xml:space="preserve">MW methanol </t>
  </si>
  <si>
    <t>g/mol</t>
  </si>
  <si>
    <t xml:space="preserve">density of methanol </t>
  </si>
  <si>
    <t xml:space="preserve">kg/m^3 </t>
  </si>
  <si>
    <t>g/m^3</t>
  </si>
  <si>
    <t>vol of desired production</t>
  </si>
  <si>
    <t xml:space="preserve">gal methanol per year </t>
  </si>
  <si>
    <t xml:space="preserve">mass of desired methanol </t>
  </si>
  <si>
    <t xml:space="preserve">g </t>
  </si>
  <si>
    <t>g/gal</t>
  </si>
  <si>
    <t xml:space="preserve">g/year </t>
  </si>
  <si>
    <t>moles of desired methanol</t>
  </si>
  <si>
    <t xml:space="preserve">moles of methanol per year </t>
  </si>
  <si>
    <t>*adjusted as per our specs using upstream</t>
  </si>
  <si>
    <t xml:space="preserve">per year (scaled) </t>
  </si>
  <si>
    <t>per hour (scaled)</t>
  </si>
  <si>
    <t xml:space="preserve">ZnO is alone, can I assume a flowrate and add it to the h2s summation? </t>
  </si>
  <si>
    <t>*figure out where to add heat exchangers and possible pumps</t>
  </si>
  <si>
    <t xml:space="preserve">*figure out hysys bullshit </t>
  </si>
  <si>
    <t>ZnO FLOW MOLE BASIS</t>
  </si>
  <si>
    <t>Scaled ZnO</t>
  </si>
  <si>
    <t>H2S FLOW RATE</t>
  </si>
  <si>
    <t>HCL</t>
  </si>
  <si>
    <t xml:space="preserve">ZnS </t>
  </si>
  <si>
    <t xml:space="preserve">Zncl2 </t>
  </si>
  <si>
    <t>TOT CO2</t>
  </si>
  <si>
    <t xml:space="preserve">TOT H2 </t>
  </si>
  <si>
    <t>WATER</t>
  </si>
  <si>
    <t>TOT CO</t>
  </si>
  <si>
    <t>STREAM 17 --&gt;</t>
  </si>
  <si>
    <t>TOT FLOWRATE INPUT</t>
  </si>
  <si>
    <t>TOT METHANOL</t>
  </si>
  <si>
    <t xml:space="preserve">species </t>
  </si>
  <si>
    <t xml:space="preserve">inlet </t>
  </si>
  <si>
    <t xml:space="preserve">UPSTREAM  </t>
  </si>
  <si>
    <t xml:space="preserve">DOWNSTREAM </t>
  </si>
  <si>
    <t xml:space="preserve"> </t>
  </si>
  <si>
    <t xml:space="preserve">Column Design!! </t>
  </si>
  <si>
    <t xml:space="preserve">Methanol in distillate </t>
  </si>
  <si>
    <t xml:space="preserve">Water in bottoms </t>
  </si>
  <si>
    <t xml:space="preserve">*even though assumptions: LNKs -&gt; 100% Distillate, HNKs -&gt; 100% </t>
  </si>
  <si>
    <t xml:space="preserve">Components </t>
  </si>
  <si>
    <t xml:space="preserve">Methanol </t>
  </si>
  <si>
    <t>Water</t>
  </si>
  <si>
    <t xml:space="preserve">ZNCL2 </t>
  </si>
  <si>
    <t xml:space="preserve">K-values </t>
  </si>
  <si>
    <t>dist. Recovery</t>
  </si>
  <si>
    <t xml:space="preserve">bot. recovery </t>
  </si>
  <si>
    <t xml:space="preserve">flow*dist revovery </t>
  </si>
  <si>
    <t xml:space="preserve">* all molar flows are in units of kmol/hr </t>
  </si>
  <si>
    <t xml:space="preserve">feed molar flows </t>
  </si>
  <si>
    <t xml:space="preserve">dist. molar flows </t>
  </si>
  <si>
    <t xml:space="preserve">bot. molar flows </t>
  </si>
  <si>
    <t xml:space="preserve">flow*bot revovery </t>
  </si>
  <si>
    <t>dist. Mole frac</t>
  </si>
  <si>
    <t>bot. mole frac</t>
  </si>
  <si>
    <t>hysys</t>
  </si>
  <si>
    <t>H</t>
  </si>
  <si>
    <t xml:space="preserve">&lt;-- short column! </t>
  </si>
  <si>
    <t xml:space="preserve">recommended # of trays </t>
  </si>
  <si>
    <t>optimal feed stage</t>
  </si>
  <si>
    <t>min # of trays</t>
  </si>
  <si>
    <t xml:space="preserve">--&gt; sus </t>
  </si>
  <si>
    <t xml:space="preserve">&lt;-- full column! </t>
  </si>
  <si>
    <t xml:space="preserve">tot </t>
  </si>
  <si>
    <t xml:space="preserve">Molar flows </t>
  </si>
  <si>
    <t xml:space="preserve">Aspen plus info </t>
  </si>
  <si>
    <t>Molar frac</t>
  </si>
  <si>
    <t>Flow rate in</t>
  </si>
  <si>
    <t>Temperature in</t>
  </si>
  <si>
    <t xml:space="preserve">Control Valve Distance </t>
  </si>
  <si>
    <t xml:space="preserve">Control Valve Height </t>
  </si>
  <si>
    <t xml:space="preserve">kmol/hr </t>
  </si>
  <si>
    <t xml:space="preserve">C </t>
  </si>
  <si>
    <t>m</t>
  </si>
  <si>
    <t>*arbitrary value</t>
  </si>
  <si>
    <t xml:space="preserve">Molar Density (S1) </t>
  </si>
  <si>
    <t xml:space="preserve">Molar Density (S2) </t>
  </si>
  <si>
    <t xml:space="preserve">kmol/m^3 </t>
  </si>
  <si>
    <t>m^3/hr</t>
  </si>
  <si>
    <t>tot pressure difference</t>
  </si>
  <si>
    <t xml:space="preserve">reactorP - inletP </t>
  </si>
  <si>
    <t xml:space="preserve">Reactor Distance </t>
  </si>
  <si>
    <t xml:space="preserve">Height Increase </t>
  </si>
  <si>
    <t xml:space="preserve">TOT required P change </t>
  </si>
  <si>
    <t>psi</t>
  </si>
  <si>
    <t>gpm</t>
  </si>
  <si>
    <t xml:space="preserve">psi </t>
  </si>
  <si>
    <t xml:space="preserve">Control Valve </t>
  </si>
  <si>
    <t xml:space="preserve">Avg density </t>
  </si>
  <si>
    <t xml:space="preserve">REQUIRED HEAD </t>
  </si>
  <si>
    <t xml:space="preserve">ft </t>
  </si>
  <si>
    <t>OVERALL CAPACITY</t>
  </si>
  <si>
    <t xml:space="preserve">NPSHA </t>
  </si>
  <si>
    <t xml:space="preserve">m </t>
  </si>
  <si>
    <t xml:space="preserve">NPSHR </t>
  </si>
  <si>
    <t xml:space="preserve">*ASPEN </t>
  </si>
  <si>
    <t>*DIAGRAM</t>
  </si>
  <si>
    <t xml:space="preserve">H2O P IN </t>
  </si>
  <si>
    <t>SOLAR P</t>
  </si>
  <si>
    <t>ft-ibf/ib</t>
  </si>
  <si>
    <t>THP</t>
  </si>
  <si>
    <t>BHP</t>
  </si>
  <si>
    <t xml:space="preserve">HP </t>
  </si>
  <si>
    <t>*ask about pressure increase</t>
  </si>
  <si>
    <t>GPM for each</t>
  </si>
  <si>
    <t xml:space="preserve">Pressure increase </t>
  </si>
  <si>
    <t xml:space="preserve">Efficiency Calculations </t>
  </si>
  <si>
    <t>GPM per pump</t>
  </si>
  <si>
    <t xml:space="preserve">Head ft. per pump </t>
  </si>
  <si>
    <t xml:space="preserve">SG </t>
  </si>
  <si>
    <t xml:space="preserve">Efficiency </t>
  </si>
  <si>
    <t>CAVITATION?</t>
  </si>
  <si>
    <t>PUMP 1, H2O</t>
  </si>
  <si>
    <t xml:space="preserve">--&gt; OTHER CONFIGURATION!! </t>
  </si>
  <si>
    <t>SPRAY Q-P</t>
  </si>
  <si>
    <t>etm</t>
  </si>
  <si>
    <t>ZnO (s) + H2S→ ZnCl2 (s) + H2O</t>
  </si>
  <si>
    <t xml:space="preserve">Reboiler </t>
  </si>
  <si>
    <t xml:space="preserve">Condenser </t>
  </si>
  <si>
    <t xml:space="preserve">MIN # OF TRAYS </t>
  </si>
  <si>
    <t>EXTERNAL RR</t>
  </si>
  <si>
    <t>MIN RR</t>
  </si>
  <si>
    <t>Pressure (kPa)</t>
  </si>
  <si>
    <t>Temperature (C )</t>
  </si>
  <si>
    <t>Pressure Drop</t>
  </si>
  <si>
    <t xml:space="preserve"> OP STAGE </t>
  </si>
  <si>
    <t xml:space="preserve">Minimum # Stages, Nmin, Fenske Eq </t>
  </si>
  <si>
    <t xml:space="preserve">alpha </t>
  </si>
  <si>
    <t>x_METHANOL_D</t>
  </si>
  <si>
    <t>x_WATER_D</t>
  </si>
  <si>
    <t>x_METHANOL_B</t>
  </si>
  <si>
    <t>x_WATER_B</t>
  </si>
  <si>
    <t>D_LK_METHANOL</t>
  </si>
  <si>
    <t>B_LK_WATER</t>
  </si>
  <si>
    <t>D_HK_METHANOL</t>
  </si>
  <si>
    <t>B_HK_WATER</t>
  </si>
  <si>
    <t>alpha_LK/HK_D</t>
  </si>
  <si>
    <t>alpha_LK/HK_B</t>
  </si>
  <si>
    <t>alpha_avg</t>
  </si>
  <si>
    <t>K_LK_D</t>
  </si>
  <si>
    <t>K_HK_D</t>
  </si>
  <si>
    <t>K_LK_B</t>
  </si>
  <si>
    <t>K_HK_B</t>
  </si>
  <si>
    <t>NUMERATOR</t>
  </si>
  <si>
    <t xml:space="preserve">DENOMINATOR </t>
  </si>
  <si>
    <t>N_min</t>
  </si>
  <si>
    <t xml:space="preserve">Estimating Non-Key D &amp; B Component Comps </t>
  </si>
  <si>
    <t>x_B</t>
  </si>
  <si>
    <t>x_D</t>
  </si>
  <si>
    <t>K_D</t>
  </si>
  <si>
    <t>K_B</t>
  </si>
  <si>
    <t>estimate</t>
  </si>
  <si>
    <t>well zero aint it</t>
  </si>
  <si>
    <t xml:space="preserve">Minimum Reflux Ratio, Rmin, Underwood Eq </t>
  </si>
  <si>
    <t>V = L + D</t>
  </si>
  <si>
    <t>Rmin = Lmin / D</t>
  </si>
  <si>
    <t>n</t>
  </si>
  <si>
    <t xml:space="preserve">alpha_methanol </t>
  </si>
  <si>
    <t>alpha_water</t>
  </si>
  <si>
    <t xml:space="preserve">xF_methanol </t>
  </si>
  <si>
    <t>xF_water</t>
  </si>
  <si>
    <t xml:space="preserve">q </t>
  </si>
  <si>
    <t xml:space="preserve">vessel 1 </t>
  </si>
  <si>
    <t>THETA</t>
  </si>
  <si>
    <t>xD_methanol</t>
  </si>
  <si>
    <t>xD_water</t>
  </si>
  <si>
    <t>Rmin</t>
  </si>
  <si>
    <t>R</t>
  </si>
  <si>
    <t xml:space="preserve">Actual # Of Stages, N </t>
  </si>
  <si>
    <t xml:space="preserve">Right hand side </t>
  </si>
  <si>
    <t xml:space="preserve">Feed Stage, Kirkbirde Eq </t>
  </si>
  <si>
    <t>Column Diameter</t>
  </si>
  <si>
    <t xml:space="preserve">F_LG </t>
  </si>
  <si>
    <t>L</t>
  </si>
  <si>
    <t>G</t>
  </si>
  <si>
    <t>Rho_G</t>
  </si>
  <si>
    <t xml:space="preserve">Rho_L </t>
  </si>
  <si>
    <t>F</t>
  </si>
  <si>
    <t>V_D</t>
  </si>
  <si>
    <t>L_D</t>
  </si>
  <si>
    <t xml:space="preserve">&lt;-- Sus </t>
  </si>
  <si>
    <t>L_B</t>
  </si>
  <si>
    <t>L_V</t>
  </si>
  <si>
    <t xml:space="preserve">Y calculations </t>
  </si>
  <si>
    <t>F_LG</t>
  </si>
  <si>
    <t>rho_G</t>
  </si>
  <si>
    <t>rho_L</t>
  </si>
  <si>
    <t>D_T</t>
  </si>
  <si>
    <t>U_f</t>
  </si>
  <si>
    <t>F_p</t>
  </si>
  <si>
    <t>f_rho_L</t>
  </si>
  <si>
    <t>rho_water_L</t>
  </si>
  <si>
    <t>f_MU_L</t>
  </si>
  <si>
    <t xml:space="preserve">ft/s^2 </t>
  </si>
  <si>
    <t>f</t>
  </si>
  <si>
    <t>P_D</t>
  </si>
  <si>
    <t>kg/m3</t>
  </si>
  <si>
    <t>mu_L</t>
  </si>
  <si>
    <t>kg/s</t>
  </si>
  <si>
    <t>ft2/ft3</t>
  </si>
  <si>
    <t>cp</t>
  </si>
  <si>
    <t>ib/ft-s</t>
  </si>
  <si>
    <t>ib/ft3</t>
  </si>
  <si>
    <t>m/s</t>
  </si>
  <si>
    <t>Column Height</t>
  </si>
  <si>
    <t xml:space="preserve">HETP </t>
  </si>
  <si>
    <t>Dp</t>
  </si>
  <si>
    <t>in</t>
  </si>
  <si>
    <t xml:space="preserve">Packed Height </t>
  </si>
  <si>
    <t>a</t>
  </si>
  <si>
    <t>m2/m3</t>
  </si>
  <si>
    <t>DT</t>
  </si>
  <si>
    <t xml:space="preserve">f </t>
  </si>
  <si>
    <t xml:space="preserve">uf </t>
  </si>
  <si>
    <t>ad</t>
  </si>
  <si>
    <t xml:space="preserve">at </t>
  </si>
  <si>
    <t xml:space="preserve">rho g </t>
  </si>
  <si>
    <t>C</t>
  </si>
  <si>
    <t xml:space="preserve">rho L </t>
  </si>
  <si>
    <t xml:space="preserve">CSB </t>
  </si>
  <si>
    <t>FST</t>
  </si>
  <si>
    <t>FF</t>
  </si>
  <si>
    <t>FHA</t>
  </si>
  <si>
    <t xml:space="preserve">plate spacing </t>
  </si>
  <si>
    <t>inch</t>
  </si>
  <si>
    <t xml:space="preserve">ft/s </t>
  </si>
  <si>
    <t xml:space="preserve">sigma </t>
  </si>
  <si>
    <t xml:space="preserve">Ad </t>
  </si>
  <si>
    <t xml:space="preserve">At </t>
  </si>
  <si>
    <t>Ad/AT</t>
  </si>
  <si>
    <t xml:space="preserve">Ah </t>
  </si>
  <si>
    <t xml:space="preserve">Aa </t>
  </si>
  <si>
    <t>dyne/cm</t>
  </si>
  <si>
    <t xml:space="preserve">Liq viscosity </t>
  </si>
  <si>
    <t>E0</t>
  </si>
  <si>
    <t xml:space="preserve">HOT IN </t>
  </si>
  <si>
    <t xml:space="preserve">COLD OUT </t>
  </si>
  <si>
    <t>COLD IN</t>
  </si>
  <si>
    <t>HOT OUT</t>
  </si>
  <si>
    <t>TEMPERATURE (C )</t>
  </si>
  <si>
    <t>Molar flow (kmol/hr)</t>
  </si>
  <si>
    <t xml:space="preserve">DUTY </t>
  </si>
  <si>
    <t>HEAT LEAK</t>
  </si>
  <si>
    <t>HEAT LOSS</t>
  </si>
  <si>
    <t>UA</t>
  </si>
  <si>
    <t>MIN APPROACH</t>
  </si>
  <si>
    <t>LMTD</t>
  </si>
  <si>
    <t>HYSYS</t>
  </si>
  <si>
    <t xml:space="preserve">kJ/hr </t>
  </si>
  <si>
    <t xml:space="preserve">kJ/C-hr </t>
  </si>
  <si>
    <t>Hot Pinch Temperature</t>
  </si>
  <si>
    <t>Cold Pinch Temperature</t>
  </si>
  <si>
    <t xml:space="preserve">FT factor </t>
  </si>
  <si>
    <t>Uncorrected LMTD</t>
  </si>
  <si>
    <t>Determining F_T</t>
  </si>
  <si>
    <t>DeltaT_1</t>
  </si>
  <si>
    <t>DeltaT_2</t>
  </si>
  <si>
    <t>DeltaT_LM</t>
  </si>
  <si>
    <t>FT_UP</t>
  </si>
  <si>
    <t>FT_DOWN</t>
  </si>
  <si>
    <t>FT_GRAPH</t>
  </si>
  <si>
    <t xml:space="preserve">OVERALL U </t>
  </si>
  <si>
    <t>U (table 12.5)</t>
  </si>
  <si>
    <t xml:space="preserve">BTU/F-ft^2-hr </t>
  </si>
  <si>
    <t>U in SI</t>
  </si>
  <si>
    <t>HEAT DUTY, HYSYS VS HAND CALC</t>
  </si>
  <si>
    <t>Hand CALC</t>
  </si>
  <si>
    <t>Cp</t>
  </si>
  <si>
    <t>DeltaT</t>
  </si>
  <si>
    <t>HX configuartion</t>
  </si>
  <si>
    <t>4-8 hx</t>
  </si>
  <si>
    <t>Required Surface Area</t>
  </si>
  <si>
    <t>A</t>
  </si>
  <si>
    <t>Q</t>
  </si>
  <si>
    <t>FT</t>
  </si>
  <si>
    <t>Hand calcs</t>
  </si>
  <si>
    <t>U</t>
  </si>
  <si>
    <t xml:space="preserve">kj/hr </t>
  </si>
  <si>
    <t>W/m^2-C</t>
  </si>
  <si>
    <t xml:space="preserve">m^2 </t>
  </si>
  <si>
    <t>ft^2</t>
  </si>
  <si>
    <t xml:space="preserve">&lt;-- larger than 8000 ft^2, needs HX in parallel </t>
  </si>
  <si>
    <t># of HX in parallel</t>
  </si>
  <si>
    <t>HXs in parallel</t>
  </si>
  <si>
    <t>Area for min # of HXs</t>
  </si>
  <si>
    <t xml:space="preserve">Goemetry </t>
  </si>
  <si>
    <t xml:space="preserve">Q_FLOWRATE_Tube </t>
  </si>
  <si>
    <t>Q_FLOWRATE_Shell</t>
  </si>
  <si>
    <t xml:space="preserve">rho_shell_avg </t>
  </si>
  <si>
    <t>rho_tube_avg</t>
  </si>
  <si>
    <t>CP_SHELL</t>
  </si>
  <si>
    <t>CP_TUBE</t>
  </si>
  <si>
    <t>kJ/kg-C</t>
  </si>
  <si>
    <t>VOLUMETRIC FLOW RATE CALCULATIONS</t>
  </si>
  <si>
    <t>table 12.4</t>
  </si>
  <si>
    <t>I.D</t>
  </si>
  <si>
    <t>ft</t>
  </si>
  <si>
    <t>heuritsic 54, table 12.6</t>
  </si>
  <si>
    <t xml:space="preserve">O.D GAUGE </t>
  </si>
  <si>
    <t xml:space="preserve">FLOW AREA PER TUBE </t>
  </si>
  <si>
    <t xml:space="preserve">Tube length </t>
  </si>
  <si>
    <t>Tube Surface Area</t>
  </si>
  <si>
    <t xml:space="preserve"># of tubes </t>
  </si>
  <si>
    <t xml:space="preserve">tube velocity </t>
  </si>
  <si>
    <t xml:space="preserve">Spacing </t>
  </si>
  <si>
    <t>Shell I.D</t>
  </si>
  <si>
    <t xml:space="preserve">Cold in </t>
  </si>
  <si>
    <t>Hot out</t>
  </si>
  <si>
    <t>Hot in</t>
  </si>
  <si>
    <t xml:space="preserve">Cold out </t>
  </si>
  <si>
    <t>ft2</t>
  </si>
  <si>
    <t>ft^3/hr</t>
  </si>
  <si>
    <t>ii</t>
  </si>
  <si>
    <t>series</t>
  </si>
  <si>
    <t>parallel</t>
  </si>
  <si>
    <t xml:space="preserve">parallel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</si>
</sst>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E+00"/>
  </numFmts>
  <fonts count="1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FF0000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12"/>
      <name val="Calibri"/>
      <family val="2"/>
      <scheme val="minor"/>
    </font>
    <font>
      <b/>
      <sz val="12"/>
      <color theme="8" tint="-0.249977111117893"/>
      <name val="Calibri"/>
      <family val="2"/>
      <scheme val="minor"/>
    </font>
    <font>
      <b/>
      <sz val="12"/>
      <color theme="9" tint="-0.499984740745262"/>
      <name val="Calibri"/>
      <family val="2"/>
      <scheme val="minor"/>
    </font>
    <font>
      <sz val="12"/>
      <color theme="9" tint="-0.499984740745262"/>
      <name val="Calibri"/>
      <family val="2"/>
      <scheme val="minor"/>
    </font>
    <font>
      <b/>
      <sz val="12"/>
      <color theme="5" tint="-0.499984740745262"/>
      <name val="Calibri"/>
      <family val="2"/>
      <scheme val="minor"/>
    </font>
    <font>
      <b/>
      <i/>
      <u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EDEDED"/>
        <bgColor rgb="FF000000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2" tint="-9.9978637043366805E-2"/>
        <bgColor rgb="FF000000"/>
      </patternFill>
    </fill>
    <fill>
      <patternFill patternType="solid">
        <fgColor rgb="FFDED2F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38FF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D6DCE4"/>
        <bgColor indexed="64"/>
      </patternFill>
    </fill>
    <fill>
      <patternFill patternType="solid">
        <fgColor rgb="FFF2FFDD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55">
    <xf numFmtId="0" fontId="0" fillId="0" borderId="0" xfId="0"/>
    <xf numFmtId="0" fontId="0" fillId="0" borderId="1" xfId="0" applyBorder="1"/>
    <xf numFmtId="11" fontId="0" fillId="0" borderId="1" xfId="0" applyNumberFormat="1" applyBorder="1"/>
    <xf numFmtId="0" fontId="0" fillId="0" borderId="2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9" xfId="0" applyBorder="1"/>
    <xf numFmtId="0" fontId="0" fillId="0" borderId="8" xfId="0" applyBorder="1"/>
    <xf numFmtId="0" fontId="0" fillId="6" borderId="1" xfId="0" applyFill="1" applyBorder="1"/>
    <xf numFmtId="0" fontId="1" fillId="6" borderId="1" xfId="0" applyFont="1" applyFill="1" applyBorder="1"/>
    <xf numFmtId="0" fontId="2" fillId="7" borderId="1" xfId="0" applyFont="1" applyFill="1" applyBorder="1"/>
    <xf numFmtId="0" fontId="1" fillId="5" borderId="1" xfId="0" applyFont="1" applyFill="1" applyBorder="1"/>
    <xf numFmtId="0" fontId="1" fillId="4" borderId="1" xfId="0" applyFont="1" applyFill="1" applyBorder="1"/>
    <xf numFmtId="0" fontId="1" fillId="2" borderId="1" xfId="0" applyFont="1" applyFill="1" applyBorder="1"/>
    <xf numFmtId="0" fontId="2" fillId="3" borderId="1" xfId="0" applyFont="1" applyFill="1" applyBorder="1"/>
    <xf numFmtId="0" fontId="1" fillId="4" borderId="4" xfId="0" applyFont="1" applyFill="1" applyBorder="1"/>
    <xf numFmtId="10" fontId="0" fillId="0" borderId="1" xfId="0" applyNumberFormat="1" applyBorder="1"/>
    <xf numFmtId="10" fontId="0" fillId="0" borderId="4" xfId="0" applyNumberFormat="1" applyBorder="1"/>
    <xf numFmtId="10" fontId="0" fillId="0" borderId="10" xfId="0" applyNumberFormat="1" applyBorder="1"/>
    <xf numFmtId="10" fontId="0" fillId="0" borderId="3" xfId="0" applyNumberFormat="1" applyBorder="1"/>
    <xf numFmtId="0" fontId="0" fillId="0" borderId="10" xfId="0" applyBorder="1"/>
    <xf numFmtId="0" fontId="1" fillId="0" borderId="0" xfId="0" applyFont="1"/>
    <xf numFmtId="0" fontId="1" fillId="0" borderId="1" xfId="0" applyFont="1" applyBorder="1"/>
    <xf numFmtId="3" fontId="1" fillId="6" borderId="1" xfId="0" applyNumberFormat="1" applyFont="1" applyFill="1" applyBorder="1"/>
    <xf numFmtId="10" fontId="0" fillId="0" borderId="0" xfId="0" applyNumberFormat="1"/>
    <xf numFmtId="0" fontId="1" fillId="2" borderId="2" xfId="0" applyFont="1" applyFill="1" applyBorder="1"/>
    <xf numFmtId="0" fontId="3" fillId="0" borderId="0" xfId="0" applyFont="1"/>
    <xf numFmtId="0" fontId="1" fillId="9" borderId="1" xfId="0" applyFont="1" applyFill="1" applyBorder="1"/>
    <xf numFmtId="49" fontId="0" fillId="0" borderId="0" xfId="0" applyNumberFormat="1"/>
    <xf numFmtId="0" fontId="4" fillId="0" borderId="0" xfId="0" applyFont="1"/>
    <xf numFmtId="0" fontId="4" fillId="0" borderId="1" xfId="0" applyFont="1" applyBorder="1"/>
    <xf numFmtId="0" fontId="1" fillId="2" borderId="4" xfId="0" applyFont="1" applyFill="1" applyBorder="1"/>
    <xf numFmtId="0" fontId="4" fillId="6" borderId="1" xfId="0" applyFont="1" applyFill="1" applyBorder="1"/>
    <xf numFmtId="164" fontId="0" fillId="0" borderId="1" xfId="0" applyNumberFormat="1" applyBorder="1"/>
    <xf numFmtId="0" fontId="0" fillId="0" borderId="0" xfId="0" quotePrefix="1"/>
    <xf numFmtId="0" fontId="1" fillId="8" borderId="1" xfId="0" applyFont="1" applyFill="1" applyBorder="1"/>
    <xf numFmtId="0" fontId="4" fillId="10" borderId="0" xfId="0" applyFont="1" applyFill="1"/>
    <xf numFmtId="0" fontId="4" fillId="10" borderId="1" xfId="0" applyFont="1" applyFill="1" applyBorder="1"/>
    <xf numFmtId="0" fontId="5" fillId="0" borderId="1" xfId="0" applyFont="1" applyBorder="1"/>
    <xf numFmtId="0" fontId="4" fillId="2" borderId="1" xfId="0" applyFont="1" applyFill="1" applyBorder="1"/>
    <xf numFmtId="3" fontId="0" fillId="0" borderId="1" xfId="0" applyNumberFormat="1" applyBorder="1"/>
    <xf numFmtId="0" fontId="4" fillId="10" borderId="2" xfId="0" applyFont="1" applyFill="1" applyBorder="1" applyAlignment="1">
      <alignment horizontal="center"/>
    </xf>
    <xf numFmtId="0" fontId="4" fillId="10" borderId="8" xfId="0" applyFont="1" applyFill="1" applyBorder="1" applyAlignment="1">
      <alignment horizontal="center"/>
    </xf>
    <xf numFmtId="0" fontId="1" fillId="8" borderId="1" xfId="0" applyFont="1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8" xfId="0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5" borderId="1" xfId="0" applyFont="1" applyFill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2" xfId="0" applyBorder="1" applyAlignment="1">
      <alignment horizontal="center"/>
    </xf>
    <xf numFmtId="0" fontId="1" fillId="8" borderId="2" xfId="0" applyFont="1" applyFill="1" applyBorder="1" applyAlignment="1">
      <alignment horizontal="center"/>
    </xf>
    <xf numFmtId="0" fontId="1" fillId="8" borderId="9" xfId="0" applyFont="1" applyFill="1" applyBorder="1" applyAlignment="1">
      <alignment horizontal="center"/>
    </xf>
    <xf numFmtId="0" fontId="1" fillId="8" borderId="8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/>
    </xf>
    <xf numFmtId="164" fontId="0" fillId="0" borderId="0" xfId="0" applyNumberFormat="1"/>
    <xf numFmtId="0" fontId="1" fillId="5" borderId="4" xfId="0" applyFont="1" applyFill="1" applyBorder="1"/>
    <xf numFmtId="0" fontId="0" fillId="10" borderId="1" xfId="0" applyFill="1" applyBorder="1"/>
    <xf numFmtId="0" fontId="1" fillId="10" borderId="1" xfId="0" applyFont="1" applyFill="1" applyBorder="1"/>
    <xf numFmtId="0" fontId="1" fillId="10" borderId="3" xfId="0" applyFont="1" applyFill="1" applyBorder="1"/>
    <xf numFmtId="0" fontId="6" fillId="10" borderId="1" xfId="0" applyFont="1" applyFill="1" applyBorder="1"/>
    <xf numFmtId="0" fontId="6" fillId="10" borderId="2" xfId="0" applyFont="1" applyFill="1" applyBorder="1"/>
    <xf numFmtId="11" fontId="0" fillId="0" borderId="0" xfId="0" applyNumberFormat="1"/>
    <xf numFmtId="0" fontId="4" fillId="10" borderId="4" xfId="0" applyFont="1" applyFill="1" applyBorder="1"/>
    <xf numFmtId="11" fontId="7" fillId="11" borderId="1" xfId="0" applyNumberFormat="1" applyFont="1" applyFill="1" applyBorder="1"/>
    <xf numFmtId="0" fontId="8" fillId="11" borderId="1" xfId="0" applyFont="1" applyFill="1" applyBorder="1"/>
    <xf numFmtId="0" fontId="9" fillId="9" borderId="1" xfId="0" applyFont="1" applyFill="1" applyBorder="1"/>
    <xf numFmtId="11" fontId="9" fillId="9" borderId="1" xfId="0" applyNumberFormat="1" applyFont="1" applyFill="1" applyBorder="1"/>
    <xf numFmtId="0" fontId="9" fillId="9" borderId="0" xfId="0" applyFont="1" applyFill="1"/>
    <xf numFmtId="3" fontId="0" fillId="0" borderId="0" xfId="0" applyNumberFormat="1"/>
    <xf numFmtId="0" fontId="1" fillId="12" borderId="2" xfId="0" applyFont="1" applyFill="1" applyBorder="1"/>
    <xf numFmtId="0" fontId="1" fillId="5" borderId="12" xfId="0" applyFont="1" applyFill="1" applyBorder="1"/>
    <xf numFmtId="0" fontId="1" fillId="0" borderId="8" xfId="0" applyFont="1" applyBorder="1"/>
    <xf numFmtId="0" fontId="1" fillId="11" borderId="8" xfId="0" applyFont="1" applyFill="1" applyBorder="1"/>
    <xf numFmtId="0" fontId="1" fillId="0" borderId="13" xfId="0" applyFont="1" applyBorder="1"/>
    <xf numFmtId="0" fontId="0" fillId="0" borderId="14" xfId="0" applyBorder="1"/>
    <xf numFmtId="0" fontId="1" fillId="12" borderId="14" xfId="0" applyFont="1" applyFill="1" applyBorder="1"/>
    <xf numFmtId="0" fontId="0" fillId="0" borderId="15" xfId="0" applyBorder="1"/>
    <xf numFmtId="0" fontId="10" fillId="0" borderId="1" xfId="0" applyFont="1" applyBorder="1"/>
    <xf numFmtId="0" fontId="10" fillId="0" borderId="2" xfId="0" applyFont="1" applyBorder="1"/>
    <xf numFmtId="0" fontId="10" fillId="0" borderId="0" xfId="0" applyFont="1"/>
    <xf numFmtId="0" fontId="11" fillId="13" borderId="1" xfId="0" applyFont="1" applyFill="1" applyBorder="1"/>
    <xf numFmtId="164" fontId="4" fillId="0" borderId="0" xfId="0" applyNumberFormat="1" applyFont="1"/>
    <xf numFmtId="0" fontId="1" fillId="8" borderId="0" xfId="0" applyFont="1" applyFill="1"/>
    <xf numFmtId="0" fontId="1" fillId="14" borderId="0" xfId="0" applyFont="1" applyFill="1"/>
    <xf numFmtId="0" fontId="0" fillId="14" borderId="0" xfId="0" applyFill="1"/>
    <xf numFmtId="0" fontId="1" fillId="11" borderId="0" xfId="0" applyFont="1" applyFill="1"/>
    <xf numFmtId="0" fontId="1" fillId="15" borderId="0" xfId="0" applyFont="1" applyFill="1"/>
    <xf numFmtId="0" fontId="1" fillId="0" borderId="16" xfId="0" applyFont="1" applyBorder="1"/>
    <xf numFmtId="0" fontId="1" fillId="0" borderId="6" xfId="0" applyFont="1" applyBorder="1"/>
    <xf numFmtId="0" fontId="1" fillId="0" borderId="11" xfId="0" applyFont="1" applyBorder="1"/>
    <xf numFmtId="0" fontId="0" fillId="0" borderId="12" xfId="0" applyBorder="1"/>
    <xf numFmtId="11" fontId="0" fillId="0" borderId="5" xfId="0" applyNumberFormat="1" applyBorder="1"/>
    <xf numFmtId="0" fontId="1" fillId="16" borderId="6" xfId="0" applyFont="1" applyFill="1" applyBorder="1"/>
    <xf numFmtId="0" fontId="1" fillId="16" borderId="7" xfId="0" applyFont="1" applyFill="1" applyBorder="1"/>
    <xf numFmtId="0" fontId="1" fillId="0" borderId="7" xfId="0" applyFont="1" applyBorder="1"/>
    <xf numFmtId="0" fontId="0" fillId="0" borderId="11" xfId="0" applyBorder="1"/>
    <xf numFmtId="0" fontId="0" fillId="0" borderId="17" xfId="0" applyBorder="1"/>
    <xf numFmtId="0" fontId="0" fillId="0" borderId="16" xfId="0" applyBorder="1"/>
    <xf numFmtId="0" fontId="0" fillId="0" borderId="18" xfId="0" applyBorder="1"/>
    <xf numFmtId="0" fontId="4" fillId="17" borderId="6" xfId="0" applyFont="1" applyFill="1" applyBorder="1"/>
    <xf numFmtId="0" fontId="4" fillId="17" borderId="18" xfId="0" applyFont="1" applyFill="1" applyBorder="1"/>
    <xf numFmtId="0" fontId="4" fillId="17" borderId="7" xfId="0" applyFont="1" applyFill="1" applyBorder="1"/>
    <xf numFmtId="0" fontId="1" fillId="18" borderId="6" xfId="0" applyFont="1" applyFill="1" applyBorder="1"/>
    <xf numFmtId="0" fontId="1" fillId="18" borderId="18" xfId="0" applyFont="1" applyFill="1" applyBorder="1"/>
    <xf numFmtId="0" fontId="4" fillId="0" borderId="0" xfId="0" quotePrefix="1" applyFont="1"/>
    <xf numFmtId="11" fontId="0" fillId="0" borderId="1" xfId="0" applyNumberFormat="1" applyBorder="1" applyAlignment="1">
      <alignment horizontal="center"/>
    </xf>
    <xf numFmtId="11" fontId="0" fillId="0" borderId="11" xfId="0" applyNumberFormat="1" applyBorder="1" applyAlignment="1">
      <alignment horizontal="center"/>
    </xf>
    <xf numFmtId="11" fontId="0" fillId="10" borderId="3" xfId="0" applyNumberFormat="1" applyFill="1" applyBorder="1"/>
    <xf numFmtId="11" fontId="0" fillId="10" borderId="1" xfId="0" applyNumberFormat="1" applyFill="1" applyBorder="1"/>
    <xf numFmtId="165" fontId="0" fillId="0" borderId="0" xfId="0" applyNumberFormat="1"/>
    <xf numFmtId="0" fontId="1" fillId="19" borderId="0" xfId="0" applyFont="1" applyFill="1"/>
    <xf numFmtId="0" fontId="0" fillId="19" borderId="0" xfId="0" applyFill="1"/>
    <xf numFmtId="11" fontId="0" fillId="19" borderId="0" xfId="0" applyNumberFormat="1" applyFill="1"/>
    <xf numFmtId="11" fontId="4" fillId="10" borderId="0" xfId="0" applyNumberFormat="1" applyFont="1" applyFill="1"/>
    <xf numFmtId="11" fontId="0" fillId="0" borderId="16" xfId="0" applyNumberFormat="1" applyBorder="1"/>
    <xf numFmtId="11" fontId="0" fillId="0" borderId="6" xfId="0" applyNumberFormat="1" applyBorder="1"/>
    <xf numFmtId="11" fontId="0" fillId="0" borderId="18" xfId="0" applyNumberFormat="1" applyBorder="1"/>
    <xf numFmtId="11" fontId="0" fillId="0" borderId="7" xfId="0" applyNumberFormat="1" applyBorder="1"/>
    <xf numFmtId="0" fontId="1" fillId="19" borderId="4" xfId="0" applyFont="1" applyFill="1" applyBorder="1"/>
    <xf numFmtId="0" fontId="1" fillId="19" borderId="10" xfId="0" applyFont="1" applyFill="1" applyBorder="1"/>
    <xf numFmtId="0" fontId="1" fillId="19" borderId="3" xfId="0" applyFont="1" applyFill="1" applyBorder="1"/>
    <xf numFmtId="0" fontId="1" fillId="19" borderId="2" xfId="0" applyFont="1" applyFill="1" applyBorder="1"/>
    <xf numFmtId="0" fontId="1" fillId="19" borderId="9" xfId="0" applyFont="1" applyFill="1" applyBorder="1"/>
    <xf numFmtId="0" fontId="1" fillId="19" borderId="8" xfId="0" applyFont="1" applyFill="1" applyBorder="1"/>
    <xf numFmtId="0" fontId="1" fillId="19" borderId="11" xfId="0" applyFont="1" applyFill="1" applyBorder="1"/>
    <xf numFmtId="11" fontId="0" fillId="0" borderId="12" xfId="0" applyNumberFormat="1" applyBorder="1"/>
    <xf numFmtId="0" fontId="1" fillId="19" borderId="16" xfId="0" applyFont="1" applyFill="1" applyBorder="1"/>
    <xf numFmtId="0" fontId="1" fillId="19" borderId="6" xfId="0" applyFont="1" applyFill="1" applyBorder="1"/>
    <xf numFmtId="16" fontId="0" fillId="0" borderId="0" xfId="0" applyNumberFormat="1"/>
    <xf numFmtId="0" fontId="1" fillId="19" borderId="0" xfId="0" applyFont="1" applyFill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1" fillId="18" borderId="11" xfId="0" applyFont="1" applyFill="1" applyBorder="1" applyAlignment="1">
      <alignment horizontal="center"/>
    </xf>
    <xf numFmtId="0" fontId="1" fillId="18" borderId="17" xfId="0" applyFont="1" applyFill="1" applyBorder="1" applyAlignment="1">
      <alignment horizontal="center"/>
    </xf>
    <xf numFmtId="0" fontId="1" fillId="18" borderId="12" xfId="0" applyFont="1" applyFill="1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2" xfId="0" applyBorder="1" applyAlignment="1">
      <alignment horizontal="center"/>
    </xf>
    <xf numFmtId="0" fontId="1" fillId="0" borderId="0" xfId="0" applyFont="1" applyAlignment="1">
      <alignment horizontal="center"/>
    </xf>
    <xf numFmtId="0" fontId="1" fillId="19" borderId="11" xfId="0" applyFont="1" applyFill="1" applyBorder="1" applyAlignment="1">
      <alignment horizontal="center"/>
    </xf>
    <xf numFmtId="0" fontId="0" fillId="19" borderId="9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1" fillId="19" borderId="2" xfId="0" applyFont="1" applyFill="1" applyBorder="1" applyAlignment="1">
      <alignment horizontal="center"/>
    </xf>
    <xf numFmtId="0" fontId="1" fillId="19" borderId="9" xfId="0" applyFont="1" applyFill="1" applyBorder="1" applyAlignment="1">
      <alignment horizontal="center"/>
    </xf>
    <xf numFmtId="0" fontId="1" fillId="19" borderId="8" xfId="0" applyFont="1" applyFill="1" applyBorder="1" applyAlignment="1">
      <alignment horizontal="center"/>
    </xf>
    <xf numFmtId="0" fontId="1" fillId="20" borderId="4" xfId="0" applyFont="1" applyFill="1" applyBorder="1" applyAlignment="1">
      <alignment horizontal="center" vertical="center"/>
    </xf>
    <xf numFmtId="0" fontId="1" fillId="20" borderId="10" xfId="0" applyFont="1" applyFill="1" applyBorder="1" applyAlignment="1">
      <alignment horizontal="center" vertical="center"/>
    </xf>
    <xf numFmtId="0" fontId="1" fillId="20" borderId="3" xfId="0" applyFont="1" applyFill="1" applyBorder="1" applyAlignment="1">
      <alignment horizontal="center" vertical="center"/>
    </xf>
    <xf numFmtId="0" fontId="1" fillId="19" borderId="1" xfId="0" applyFont="1" applyFill="1" applyBorder="1" applyAlignment="1">
      <alignment horizontal="center"/>
    </xf>
    <xf numFmtId="0" fontId="0" fillId="19" borderId="1" xfId="0" applyFill="1" applyBorder="1" applyAlignment="1">
      <alignment horizontal="center"/>
    </xf>
    <xf numFmtId="0" fontId="1" fillId="20" borderId="12" xfId="0" applyFont="1" applyFill="1" applyBorder="1" applyAlignment="1">
      <alignment horizontal="center" vertical="center"/>
    </xf>
    <xf numFmtId="0" fontId="1" fillId="20" borderId="5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D6DCE4"/>
      <color rgb="FFF2FFDD"/>
      <color rgb="FFB4B1D3"/>
      <color rgb="FFDED2F0"/>
      <color rgb="FFFF38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g"/><Relationship Id="rId2" Type="http://schemas.openxmlformats.org/officeDocument/2006/relationships/image" Target="../media/image18.jpeg"/><Relationship Id="rId1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jpe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0</xdr:colOff>
      <xdr:row>20</xdr:row>
      <xdr:rowOff>0</xdr:rowOff>
    </xdr:from>
    <xdr:to>
      <xdr:col>20</xdr:col>
      <xdr:colOff>334365</xdr:colOff>
      <xdr:row>22</xdr:row>
      <xdr:rowOff>196051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275C86-81B3-9541-ABAF-824BF153F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55200" y="4064000"/>
          <a:ext cx="2918965" cy="60245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32712</xdr:colOff>
      <xdr:row>30</xdr:row>
      <xdr:rowOff>120843</xdr:rowOff>
    </xdr:from>
    <xdr:to>
      <xdr:col>20</xdr:col>
      <xdr:colOff>384713</xdr:colOff>
      <xdr:row>46</xdr:row>
      <xdr:rowOff>80880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15E05D0-5004-E54C-B6BE-48ED7AC3D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81197" y="6470843"/>
          <a:ext cx="3661698" cy="3346704"/>
        </a:xfrm>
        <a:prstGeom prst="rect">
          <a:avLst/>
        </a:prstGeom>
      </xdr:spPr>
    </xdr:pic>
    <xdr:clientData/>
  </xdr:twoCellAnchor>
  <xdr:twoCellAnchor editAs="oneCell">
    <xdr:from>
      <xdr:col>15</xdr:col>
      <xdr:colOff>364066</xdr:colOff>
      <xdr:row>20</xdr:row>
      <xdr:rowOff>165485</xdr:rowOff>
    </xdr:from>
    <xdr:to>
      <xdr:col>20</xdr:col>
      <xdr:colOff>556491</xdr:colOff>
      <xdr:row>30</xdr:row>
      <xdr:rowOff>9072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AF5F5DF-56C5-9745-B0A6-1C950FAF6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85127" y="4398818"/>
          <a:ext cx="4329546" cy="1960254"/>
        </a:xfrm>
        <a:prstGeom prst="rect">
          <a:avLst/>
        </a:prstGeom>
      </xdr:spPr>
    </xdr:pic>
    <xdr:clientData/>
  </xdr:twoCellAnchor>
  <xdr:twoCellAnchor editAs="oneCell">
    <xdr:from>
      <xdr:col>14</xdr:col>
      <xdr:colOff>765372</xdr:colOff>
      <xdr:row>3</xdr:row>
      <xdr:rowOff>58896</xdr:rowOff>
    </xdr:from>
    <xdr:to>
      <xdr:col>21</xdr:col>
      <xdr:colOff>11851</xdr:colOff>
      <xdr:row>19</xdr:row>
      <xdr:rowOff>197427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6265590-AF9C-9647-BFF5-C4F49F78B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59008" y="693896"/>
          <a:ext cx="5038449" cy="3537898"/>
        </a:xfrm>
        <a:prstGeom prst="rect">
          <a:avLst/>
        </a:prstGeom>
      </xdr:spPr>
    </xdr:pic>
    <xdr:clientData/>
  </xdr:twoCellAnchor>
  <xdr:twoCellAnchor editAs="oneCell">
    <xdr:from>
      <xdr:col>4</xdr:col>
      <xdr:colOff>630200</xdr:colOff>
      <xdr:row>33</xdr:row>
      <xdr:rowOff>101600</xdr:rowOff>
    </xdr:from>
    <xdr:to>
      <xdr:col>9</xdr:col>
      <xdr:colOff>199779</xdr:colOff>
      <xdr:row>52</xdr:row>
      <xdr:rowOff>46000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825638A-1059-7C41-8AC4-12A87EA004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3700" y="6807200"/>
          <a:ext cx="4916279" cy="3805200"/>
        </a:xfrm>
        <a:prstGeom prst="rect">
          <a:avLst/>
        </a:prstGeom>
      </xdr:spPr>
    </xdr:pic>
    <xdr:clientData/>
  </xdr:twoCellAnchor>
  <xdr:twoCellAnchor editAs="oneCell">
    <xdr:from>
      <xdr:col>4</xdr:col>
      <xdr:colOff>721361</xdr:colOff>
      <xdr:row>49</xdr:row>
      <xdr:rowOff>157480</xdr:rowOff>
    </xdr:from>
    <xdr:to>
      <xdr:col>9</xdr:col>
      <xdr:colOff>635856</xdr:colOff>
      <xdr:row>69</xdr:row>
      <xdr:rowOff>153416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7C402E1-DB8D-B64D-A5A5-698957720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7121" y="10114280"/>
          <a:ext cx="5258655" cy="4059936"/>
        </a:xfrm>
        <a:prstGeom prst="rect">
          <a:avLst/>
        </a:prstGeom>
      </xdr:spPr>
    </xdr:pic>
    <xdr:clientData/>
  </xdr:twoCellAnchor>
  <xdr:twoCellAnchor editAs="oneCell">
    <xdr:from>
      <xdr:col>10</xdr:col>
      <xdr:colOff>85749</xdr:colOff>
      <xdr:row>49</xdr:row>
      <xdr:rowOff>161269</xdr:rowOff>
    </xdr:from>
    <xdr:to>
      <xdr:col>17</xdr:col>
      <xdr:colOff>628530</xdr:colOff>
      <xdr:row>72</xdr:row>
      <xdr:rowOff>127960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7C48D8B-3A67-074C-8F42-B82519A6F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05301" y="10378135"/>
          <a:ext cx="6380990" cy="4762362"/>
        </a:xfrm>
        <a:prstGeom prst="rect">
          <a:avLst/>
        </a:prstGeom>
      </xdr:spPr>
    </xdr:pic>
    <xdr:clientData/>
  </xdr:twoCellAnchor>
  <xdr:twoCellAnchor editAs="oneCell">
    <xdr:from>
      <xdr:col>21</xdr:col>
      <xdr:colOff>217054</xdr:colOff>
      <xdr:row>79</xdr:row>
      <xdr:rowOff>33867</xdr:rowOff>
    </xdr:from>
    <xdr:to>
      <xdr:col>27</xdr:col>
      <xdr:colOff>148913</xdr:colOff>
      <xdr:row>96</xdr:row>
      <xdr:rowOff>91206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06CFAE9-BC49-294F-9465-596FEF08E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91054" y="16086667"/>
          <a:ext cx="4961059" cy="3511739"/>
        </a:xfrm>
        <a:prstGeom prst="rect">
          <a:avLst/>
        </a:prstGeom>
      </xdr:spPr>
    </xdr:pic>
    <xdr:clientData/>
  </xdr:twoCellAnchor>
  <xdr:twoCellAnchor editAs="oneCell">
    <xdr:from>
      <xdr:col>2</xdr:col>
      <xdr:colOff>750454</xdr:colOff>
      <xdr:row>86</xdr:row>
      <xdr:rowOff>28864</xdr:rowOff>
    </xdr:from>
    <xdr:to>
      <xdr:col>6</xdr:col>
      <xdr:colOff>649515</xdr:colOff>
      <xdr:row>92</xdr:row>
      <xdr:rowOff>20205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AFADFB9-2E0B-7842-9577-433950888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1022" y="17404773"/>
          <a:ext cx="4401788" cy="1203614"/>
        </a:xfrm>
        <a:prstGeom prst="rect">
          <a:avLst/>
        </a:prstGeom>
      </xdr:spPr>
    </xdr:pic>
    <xdr:clientData/>
  </xdr:twoCellAnchor>
  <xdr:twoCellAnchor editAs="oneCell">
    <xdr:from>
      <xdr:col>28</xdr:col>
      <xdr:colOff>9442</xdr:colOff>
      <xdr:row>78</xdr:row>
      <xdr:rowOff>167722</xdr:rowOff>
    </xdr:from>
    <xdr:to>
      <xdr:col>33</xdr:col>
      <xdr:colOff>656292</xdr:colOff>
      <xdr:row>94</xdr:row>
      <xdr:rowOff>116524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AABD41-DBE4-2844-9C9B-6AA9CF3CC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25442" y="16017322"/>
          <a:ext cx="4710850" cy="3200002"/>
        </a:xfrm>
        <a:prstGeom prst="rect">
          <a:avLst/>
        </a:prstGeom>
      </xdr:spPr>
    </xdr:pic>
    <xdr:clientData/>
  </xdr:twoCellAnchor>
  <xdr:twoCellAnchor editAs="oneCell">
    <xdr:from>
      <xdr:col>29</xdr:col>
      <xdr:colOff>299803</xdr:colOff>
      <xdr:row>55</xdr:row>
      <xdr:rowOff>77593</xdr:rowOff>
    </xdr:from>
    <xdr:to>
      <xdr:col>34</xdr:col>
      <xdr:colOff>653436</xdr:colOff>
      <xdr:row>69</xdr:row>
      <xdr:rowOff>133080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44A09AD-AA93-9843-B8BF-182A3858F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28603" y="11253593"/>
          <a:ext cx="4417633" cy="2900287"/>
        </a:xfrm>
        <a:prstGeom prst="rect">
          <a:avLst/>
        </a:prstGeom>
      </xdr:spPr>
    </xdr:pic>
    <xdr:clientData/>
  </xdr:twoCellAnchor>
  <xdr:twoCellAnchor editAs="oneCell">
    <xdr:from>
      <xdr:col>21</xdr:col>
      <xdr:colOff>656359</xdr:colOff>
      <xdr:row>99</xdr:row>
      <xdr:rowOff>31377</xdr:rowOff>
    </xdr:from>
    <xdr:to>
      <xdr:col>26</xdr:col>
      <xdr:colOff>685627</xdr:colOff>
      <xdr:row>113</xdr:row>
      <xdr:rowOff>82177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593BE18-F036-7B42-BF62-F046032CF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30359" y="20148177"/>
          <a:ext cx="4245668" cy="2895600"/>
        </a:xfrm>
        <a:prstGeom prst="rect">
          <a:avLst/>
        </a:prstGeom>
      </xdr:spPr>
    </xdr:pic>
    <xdr:clientData/>
  </xdr:twoCellAnchor>
  <xdr:twoCellAnchor editAs="oneCell">
    <xdr:from>
      <xdr:col>19</xdr:col>
      <xdr:colOff>723900</xdr:colOff>
      <xdr:row>53</xdr:row>
      <xdr:rowOff>63500</xdr:rowOff>
    </xdr:from>
    <xdr:to>
      <xdr:col>27</xdr:col>
      <xdr:colOff>484094</xdr:colOff>
      <xdr:row>74</xdr:row>
      <xdr:rowOff>143436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D90D1A7-9164-D746-8EC1-4241D3030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72300" y="10833100"/>
          <a:ext cx="6414994" cy="4347136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</xdr:colOff>
      <xdr:row>141</xdr:row>
      <xdr:rowOff>190500</xdr:rowOff>
    </xdr:from>
    <xdr:to>
      <xdr:col>7</xdr:col>
      <xdr:colOff>190500</xdr:colOff>
      <xdr:row>145</xdr:row>
      <xdr:rowOff>150611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608E990-704C-C141-B87D-ECB10C041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0700" y="28841700"/>
          <a:ext cx="4648200" cy="772911"/>
        </a:xfrm>
        <a:prstGeom prst="rect">
          <a:avLst/>
        </a:prstGeom>
      </xdr:spPr>
    </xdr:pic>
    <xdr:clientData/>
  </xdr:twoCellAnchor>
  <xdr:twoCellAnchor editAs="oneCell">
    <xdr:from>
      <xdr:col>8</xdr:col>
      <xdr:colOff>15679</xdr:colOff>
      <xdr:row>90</xdr:row>
      <xdr:rowOff>31358</xdr:rowOff>
    </xdr:from>
    <xdr:to>
      <xdr:col>15</xdr:col>
      <xdr:colOff>377929</xdr:colOff>
      <xdr:row>110</xdr:row>
      <xdr:rowOff>117277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76BB1E0-10EF-E449-9C4E-28D4522EF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83704" y="18375802"/>
          <a:ext cx="6382990" cy="4162463"/>
        </a:xfrm>
        <a:prstGeom prst="rect">
          <a:avLst/>
        </a:prstGeom>
      </xdr:spPr>
    </xdr:pic>
    <xdr:clientData/>
  </xdr:twoCellAnchor>
  <xdr:twoCellAnchor editAs="oneCell">
    <xdr:from>
      <xdr:col>15</xdr:col>
      <xdr:colOff>595802</xdr:colOff>
      <xdr:row>90</xdr:row>
      <xdr:rowOff>144936</xdr:rowOff>
    </xdr:from>
    <xdr:to>
      <xdr:col>23</xdr:col>
      <xdr:colOff>494201</xdr:colOff>
      <xdr:row>110</xdr:row>
      <xdr:rowOff>44073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797CFA5-EBA0-094D-88DE-664B876D2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4567" y="18489380"/>
          <a:ext cx="6546301" cy="3975681"/>
        </a:xfrm>
        <a:prstGeom prst="rect">
          <a:avLst/>
        </a:prstGeom>
      </xdr:spPr>
    </xdr:pic>
    <xdr:clientData/>
  </xdr:twoCellAnchor>
  <xdr:twoCellAnchor editAs="oneCell">
    <xdr:from>
      <xdr:col>7</xdr:col>
      <xdr:colOff>925062</xdr:colOff>
      <xdr:row>111</xdr:row>
      <xdr:rowOff>73944</xdr:rowOff>
    </xdr:from>
    <xdr:to>
      <xdr:col>14</xdr:col>
      <xdr:colOff>466292</xdr:colOff>
      <xdr:row>131</xdr:row>
      <xdr:rowOff>51582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4368FD5-1EA5-4A42-8AF4-82DC6E2F1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20988" y="22698759"/>
          <a:ext cx="5703082" cy="405418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12700</xdr:colOff>
      <xdr:row>1</xdr:row>
      <xdr:rowOff>38100</xdr:rowOff>
    </xdr:from>
    <xdr:to>
      <xdr:col>11</xdr:col>
      <xdr:colOff>506839</xdr:colOff>
      <xdr:row>17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888F59-49AE-E947-BB11-5AD037789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6800" y="241300"/>
          <a:ext cx="5447139" cy="3213100"/>
        </a:xfrm>
        <a:prstGeom prst="rect">
          <a:avLst/>
        </a:prstGeom>
      </xdr:spPr>
    </xdr:pic>
    <xdr:clientData/>
  </xdr:twoCellAnchor>
  <xdr:twoCellAnchor editAs="oneCell">
    <xdr:from>
      <xdr:col>16</xdr:col>
      <xdr:colOff>286036</xdr:colOff>
      <xdr:row>69</xdr:row>
      <xdr:rowOff>125855</xdr:rowOff>
    </xdr:from>
    <xdr:to>
      <xdr:col>24</xdr:col>
      <xdr:colOff>235333</xdr:colOff>
      <xdr:row>89</xdr:row>
      <xdr:rowOff>132019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CC15C9-7810-8648-B880-AB6E54CF9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6216" y="14336125"/>
          <a:ext cx="6539567" cy="4125083"/>
        </a:xfrm>
        <a:prstGeom prst="rect">
          <a:avLst/>
        </a:prstGeom>
      </xdr:spPr>
    </xdr:pic>
    <xdr:clientData/>
  </xdr:twoCellAnchor>
  <xdr:twoCellAnchor editAs="oneCell">
    <xdr:from>
      <xdr:col>32</xdr:col>
      <xdr:colOff>436563</xdr:colOff>
      <xdr:row>5</xdr:row>
      <xdr:rowOff>119062</xdr:rowOff>
    </xdr:from>
    <xdr:to>
      <xdr:col>44</xdr:col>
      <xdr:colOff>590250</xdr:colOff>
      <xdr:row>35</xdr:row>
      <xdr:rowOff>87016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532F1D-2F41-8A4E-A6B7-810339AC8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19688" y="1111250"/>
          <a:ext cx="10154937" cy="592107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355601</xdr:colOff>
      <xdr:row>13</xdr:row>
      <xdr:rowOff>177800</xdr:rowOff>
    </xdr:from>
    <xdr:to>
      <xdr:col>6</xdr:col>
      <xdr:colOff>228602</xdr:colOff>
      <xdr:row>16</xdr:row>
      <xdr:rowOff>18659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083627-6D43-CA49-9F3B-940BA345F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1401" y="2819400"/>
          <a:ext cx="2603500" cy="450459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17</xdr:row>
      <xdr:rowOff>850</xdr:rowOff>
    </xdr:from>
    <xdr:to>
      <xdr:col>11</xdr:col>
      <xdr:colOff>304800</xdr:colOff>
      <xdr:row>28</xdr:row>
      <xdr:rowOff>30027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46AEBA-B466-8642-B7F0-DA3EB56CC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6600" y="3455250"/>
          <a:ext cx="4318000" cy="2264377"/>
        </a:xfrm>
        <a:prstGeom prst="rect">
          <a:avLst/>
        </a:prstGeom>
      </xdr:spPr>
    </xdr:pic>
    <xdr:clientData/>
  </xdr:twoCellAnchor>
  <xdr:twoCellAnchor editAs="oneCell">
    <xdr:from>
      <xdr:col>5</xdr:col>
      <xdr:colOff>414995</xdr:colOff>
      <xdr:row>45</xdr:row>
      <xdr:rowOff>86543</xdr:rowOff>
    </xdr:from>
    <xdr:to>
      <xdr:col>6</xdr:col>
      <xdr:colOff>580866</xdr:colOff>
      <xdr:row>46</xdr:row>
      <xdr:rowOff>154989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5B4E1F-F0B5-7149-B90C-2E409B5AA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7852" y="9110227"/>
          <a:ext cx="987074" cy="268973"/>
        </a:xfrm>
        <a:prstGeom prst="rect">
          <a:avLst/>
        </a:prstGeom>
      </xdr:spPr>
    </xdr:pic>
    <xdr:clientData/>
  </xdr:twoCellAnchor>
  <xdr:twoCellAnchor editAs="oneCell">
    <xdr:from>
      <xdr:col>5</xdr:col>
      <xdr:colOff>482600</xdr:colOff>
      <xdr:row>57</xdr:row>
      <xdr:rowOff>180380</xdr:rowOff>
    </xdr:from>
    <xdr:to>
      <xdr:col>11</xdr:col>
      <xdr:colOff>157799</xdr:colOff>
      <xdr:row>59</xdr:row>
      <xdr:rowOff>9005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611AAF1-0823-5F40-92F7-C55241BFD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03900" y="11356380"/>
          <a:ext cx="4628199" cy="235025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59</xdr:row>
      <xdr:rowOff>101601</xdr:rowOff>
    </xdr:from>
    <xdr:to>
      <xdr:col>8</xdr:col>
      <xdr:colOff>457200</xdr:colOff>
      <xdr:row>60</xdr:row>
      <xdr:rowOff>153800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39C7CF2-9C2F-6349-A595-E6F6CAA63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84800" y="11684001"/>
          <a:ext cx="2870200" cy="255399"/>
        </a:xfrm>
        <a:prstGeom prst="rect">
          <a:avLst/>
        </a:prstGeom>
      </xdr:spPr>
    </xdr:pic>
    <xdr:clientData/>
  </xdr:twoCellAnchor>
  <xdr:twoCellAnchor editAs="oneCell">
    <xdr:from>
      <xdr:col>6</xdr:col>
      <xdr:colOff>32371</xdr:colOff>
      <xdr:row>50</xdr:row>
      <xdr:rowOff>104846</xdr:rowOff>
    </xdr:from>
    <xdr:to>
      <xdr:col>10</xdr:col>
      <xdr:colOff>495912</xdr:colOff>
      <xdr:row>53</xdr:row>
      <xdr:rowOff>101447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862B91-80E4-BC4F-9C99-25BA93A35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694"/>
        <a:stretch/>
      </xdr:blipFill>
      <xdr:spPr>
        <a:xfrm>
          <a:off x="6296431" y="10131162"/>
          <a:ext cx="3748353" cy="598180"/>
        </a:xfrm>
        <a:prstGeom prst="rect">
          <a:avLst/>
        </a:prstGeom>
      </xdr:spPr>
    </xdr:pic>
    <xdr:clientData/>
  </xdr:twoCellAnchor>
  <xdr:oneCellAnchor>
    <xdr:from>
      <xdr:col>16</xdr:col>
      <xdr:colOff>355601</xdr:colOff>
      <xdr:row>14</xdr:row>
      <xdr:rowOff>177800</xdr:rowOff>
    </xdr:from>
    <xdr:ext cx="2616201" cy="450459"/>
    <xdr:pic>
      <xdr:nvPicPr>
        <xdr:cNvPr id="8" name="Picture 7">
          <a:extLst>
            <a:ext uri="{FF2B5EF4-FFF2-40B4-BE49-F238E27FC236}">
              <a16:creationId xmlns:a16="http://schemas.microsoft.com/office/drawing/2014/main" id="{529A99AC-827F-DC4E-8192-5369437FD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1601" y="2819400"/>
          <a:ext cx="2616201" cy="450459"/>
        </a:xfrm>
        <a:prstGeom prst="rect">
          <a:avLst/>
        </a:prstGeom>
      </xdr:spPr>
    </xdr:pic>
    <xdr:clientData/>
  </xdr:oneCellAnchor>
  <xdr:oneCellAnchor>
    <xdr:from>
      <xdr:col>19</xdr:col>
      <xdr:colOff>136891</xdr:colOff>
      <xdr:row>46</xdr:row>
      <xdr:rowOff>49463</xdr:rowOff>
    </xdr:from>
    <xdr:ext cx="995604" cy="271646"/>
    <xdr:pic>
      <xdr:nvPicPr>
        <xdr:cNvPr id="10" name="Picture 9">
          <a:extLst>
            <a:ext uri="{FF2B5EF4-FFF2-40B4-BE49-F238E27FC236}">
              <a16:creationId xmlns:a16="http://schemas.microsoft.com/office/drawing/2014/main" id="{F039ADCC-EAE7-B84D-B76D-AB339169A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59884" y="9430777"/>
          <a:ext cx="995604" cy="271646"/>
        </a:xfrm>
        <a:prstGeom prst="rect">
          <a:avLst/>
        </a:prstGeom>
      </xdr:spPr>
    </xdr:pic>
    <xdr:clientData/>
  </xdr:oneCellAnchor>
  <xdr:oneCellAnchor>
    <xdr:from>
      <xdr:col>16</xdr:col>
      <xdr:colOff>808567</xdr:colOff>
      <xdr:row>62</xdr:row>
      <xdr:rowOff>16935</xdr:rowOff>
    </xdr:from>
    <xdr:ext cx="2882900" cy="255399"/>
    <xdr:pic>
      <xdr:nvPicPr>
        <xdr:cNvPr id="12" name="Picture 11">
          <a:extLst>
            <a:ext uri="{FF2B5EF4-FFF2-40B4-BE49-F238E27FC236}">
              <a16:creationId xmlns:a16="http://schemas.microsoft.com/office/drawing/2014/main" id="{93F21F0F-E768-3947-8465-622CA60BE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2700" y="12615335"/>
          <a:ext cx="2882900" cy="255399"/>
        </a:xfrm>
        <a:prstGeom prst="rect">
          <a:avLst/>
        </a:prstGeom>
      </xdr:spPr>
    </xdr:pic>
    <xdr:clientData/>
  </xdr:oneCellAnchor>
  <xdr:oneCellAnchor>
    <xdr:from>
      <xdr:col>23</xdr:col>
      <xdr:colOff>355601</xdr:colOff>
      <xdr:row>13</xdr:row>
      <xdr:rowOff>177800</xdr:rowOff>
    </xdr:from>
    <xdr:ext cx="2616201" cy="450459"/>
    <xdr:pic>
      <xdr:nvPicPr>
        <xdr:cNvPr id="17" name="Picture 16">
          <a:extLst>
            <a:ext uri="{FF2B5EF4-FFF2-40B4-BE49-F238E27FC236}">
              <a16:creationId xmlns:a16="http://schemas.microsoft.com/office/drawing/2014/main" id="{54E1CC7F-7D9C-D044-9FC4-78984928F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11601" y="2819400"/>
          <a:ext cx="2616201" cy="450459"/>
        </a:xfrm>
        <a:prstGeom prst="rect">
          <a:avLst/>
        </a:prstGeom>
      </xdr:spPr>
    </xdr:pic>
    <xdr:clientData/>
  </xdr:oneCellAnchor>
  <xdr:oneCellAnchor>
    <xdr:from>
      <xdr:col>25</xdr:col>
      <xdr:colOff>414995</xdr:colOff>
      <xdr:row>45</xdr:row>
      <xdr:rowOff>86543</xdr:rowOff>
    </xdr:from>
    <xdr:ext cx="995604" cy="271646"/>
    <xdr:pic>
      <xdr:nvPicPr>
        <xdr:cNvPr id="18" name="Picture 17">
          <a:extLst>
            <a:ext uri="{FF2B5EF4-FFF2-40B4-BE49-F238E27FC236}">
              <a16:creationId xmlns:a16="http://schemas.microsoft.com/office/drawing/2014/main" id="{50F81683-FBFF-504F-9FE1-7C7A350FC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4462" y="9230543"/>
          <a:ext cx="995604" cy="271646"/>
        </a:xfrm>
        <a:prstGeom prst="rect">
          <a:avLst/>
        </a:prstGeom>
      </xdr:spPr>
    </xdr:pic>
    <xdr:clientData/>
  </xdr:oneCellAnchor>
  <xdr:oneCellAnchor>
    <xdr:from>
      <xdr:col>25</xdr:col>
      <xdr:colOff>63500</xdr:colOff>
      <xdr:row>59</xdr:row>
      <xdr:rowOff>101601</xdr:rowOff>
    </xdr:from>
    <xdr:ext cx="2882900" cy="255399"/>
    <xdr:pic>
      <xdr:nvPicPr>
        <xdr:cNvPr id="19" name="Picture 18">
          <a:extLst>
            <a:ext uri="{FF2B5EF4-FFF2-40B4-BE49-F238E27FC236}">
              <a16:creationId xmlns:a16="http://schemas.microsoft.com/office/drawing/2014/main" id="{A93B62D8-FB09-3747-AF34-BCAE70DE0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2967" y="12090401"/>
          <a:ext cx="2882900" cy="255399"/>
        </a:xfrm>
        <a:prstGeom prst="rect">
          <a:avLst/>
        </a:prstGeom>
      </xdr:spPr>
    </xdr:pic>
    <xdr:clientData/>
  </xdr:oneCellAnchor>
  <xdr:oneCellAnchor>
    <xdr:from>
      <xdr:col>26</xdr:col>
      <xdr:colOff>32371</xdr:colOff>
      <xdr:row>50</xdr:row>
      <xdr:rowOff>104846</xdr:rowOff>
    </xdr:from>
    <xdr:ext cx="3782474" cy="606201"/>
    <xdr:pic>
      <xdr:nvPicPr>
        <xdr:cNvPr id="20" name="Picture 19">
          <a:extLst>
            <a:ext uri="{FF2B5EF4-FFF2-40B4-BE49-F238E27FC236}">
              <a16:creationId xmlns:a16="http://schemas.microsoft.com/office/drawing/2014/main" id="{143CFD39-339B-C54B-92B2-D9949FE345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2694"/>
        <a:stretch/>
      </xdr:blipFill>
      <xdr:spPr>
        <a:xfrm>
          <a:off x="6331571" y="10264846"/>
          <a:ext cx="3782474" cy="606201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2:Z151"/>
  <sheetViews>
    <sheetView zoomScale="89" zoomScaleNormal="132" workbookViewId="0">
      <selection activeCell="D79" sqref="D79"/>
    </sheetView>
  </sheetViews>
  <sheetFormatPr baseColWidth="10" defaultRowHeight="16" x14ac:dyDescent="0.2"/>
  <cols>
    <col min="1" max="1" width="17.83203125" customWidth="1"/>
    <col min="2" max="2" width="16.83203125" customWidth="1"/>
    <col min="3" max="3" width="15.33203125" bestFit="1" customWidth="1"/>
    <col min="4" max="4" width="12" customWidth="1"/>
    <col min="5" max="5" width="11.5" customWidth="1"/>
    <col min="6" max="6" width="21.83203125" customWidth="1"/>
    <col min="7" max="7" width="21.5" customWidth="1"/>
    <col min="8" max="8" width="19.6640625" customWidth="1"/>
    <col min="9" max="9" width="24.1640625" customWidth="1"/>
    <col min="10" max="10" width="23.33203125" customWidth="1"/>
    <col min="11" max="11" width="16" customWidth="1"/>
    <col min="12" max="12" width="28.1640625" customWidth="1"/>
    <col min="13" max="13" width="19" customWidth="1"/>
    <col min="14" max="14" width="24" customWidth="1"/>
    <col min="15" max="18" width="11" bestFit="1" customWidth="1"/>
    <col min="19" max="19" width="11.33203125" bestFit="1" customWidth="1"/>
    <col min="20" max="20" width="11" bestFit="1" customWidth="1"/>
  </cols>
  <sheetData>
    <row r="2" spans="1:26" x14ac:dyDescent="0.2">
      <c r="A2" s="15" t="s">
        <v>0</v>
      </c>
      <c r="B2" s="2">
        <v>56000000</v>
      </c>
      <c r="C2" s="1" t="s">
        <v>1</v>
      </c>
      <c r="D2" s="1"/>
      <c r="F2" s="17" t="s">
        <v>30</v>
      </c>
      <c r="J2" s="14" t="s">
        <v>28</v>
      </c>
      <c r="M2" s="53" t="s">
        <v>68</v>
      </c>
      <c r="N2" s="54"/>
      <c r="O2" s="54"/>
      <c r="P2" s="54"/>
      <c r="Q2" s="54"/>
      <c r="R2" s="54"/>
      <c r="S2" s="54"/>
      <c r="T2" s="54"/>
      <c r="U2" s="54"/>
      <c r="V2" s="54"/>
      <c r="W2" s="55"/>
      <c r="Y2" s="13" t="s">
        <v>45</v>
      </c>
      <c r="Z2" s="13" t="s">
        <v>46</v>
      </c>
    </row>
    <row r="3" spans="1:26" x14ac:dyDescent="0.2">
      <c r="A3" s="15" t="s">
        <v>2</v>
      </c>
      <c r="B3" s="1">
        <v>0.99970000000000003</v>
      </c>
      <c r="C3" s="1" t="s">
        <v>3</v>
      </c>
      <c r="D3" s="1"/>
      <c r="E3">
        <v>1</v>
      </c>
      <c r="F3" s="1" t="s">
        <v>18</v>
      </c>
      <c r="G3" s="1"/>
      <c r="H3" s="1"/>
      <c r="J3" s="15" t="s">
        <v>23</v>
      </c>
      <c r="K3" s="1">
        <v>1</v>
      </c>
      <c r="M3" s="12" t="s">
        <v>9</v>
      </c>
      <c r="N3" s="13" t="s">
        <v>47</v>
      </c>
      <c r="O3" s="13" t="s">
        <v>48</v>
      </c>
      <c r="P3" s="13" t="s">
        <v>49</v>
      </c>
      <c r="Q3" s="13" t="s">
        <v>50</v>
      </c>
      <c r="R3" s="13" t="s">
        <v>51</v>
      </c>
      <c r="S3" s="13" t="s">
        <v>52</v>
      </c>
      <c r="T3" s="13" t="s">
        <v>53</v>
      </c>
      <c r="U3" s="13" t="s">
        <v>54</v>
      </c>
      <c r="V3" s="13" t="s">
        <v>71</v>
      </c>
      <c r="W3" s="13" t="s">
        <v>72</v>
      </c>
      <c r="Y3" s="10">
        <v>1</v>
      </c>
      <c r="Z3" s="1">
        <v>0</v>
      </c>
    </row>
    <row r="4" spans="1:26" x14ac:dyDescent="0.2">
      <c r="A4" s="15" t="s">
        <v>5</v>
      </c>
      <c r="B4" s="1">
        <v>8</v>
      </c>
      <c r="C4" s="1" t="s">
        <v>6</v>
      </c>
      <c r="D4" s="1"/>
      <c r="E4">
        <v>2</v>
      </c>
      <c r="F4" s="4" t="s">
        <v>19</v>
      </c>
      <c r="G4" s="1"/>
      <c r="H4" s="4"/>
      <c r="J4" s="15" t="s">
        <v>24</v>
      </c>
      <c r="K4" s="1">
        <v>1</v>
      </c>
      <c r="M4" s="11" t="s">
        <v>55</v>
      </c>
      <c r="N4" s="1">
        <v>1</v>
      </c>
      <c r="O4" s="1" t="s">
        <v>69</v>
      </c>
      <c r="P4" s="1" t="s">
        <v>70</v>
      </c>
      <c r="Q4" s="1" t="s">
        <v>70</v>
      </c>
      <c r="R4" s="1" t="s">
        <v>70</v>
      </c>
      <c r="S4" s="1" t="s">
        <v>70</v>
      </c>
      <c r="T4" s="1" t="s">
        <v>70</v>
      </c>
      <c r="U4" s="1" t="s">
        <v>70</v>
      </c>
      <c r="V4" s="1" t="s">
        <v>70</v>
      </c>
      <c r="W4" s="1" t="s">
        <v>70</v>
      </c>
      <c r="Y4" s="10">
        <v>2</v>
      </c>
      <c r="Z4" s="1">
        <v>0</v>
      </c>
    </row>
    <row r="5" spans="1:26" x14ac:dyDescent="0.2">
      <c r="A5" s="15" t="s">
        <v>4</v>
      </c>
      <c r="B5" s="1">
        <v>24</v>
      </c>
      <c r="C5" s="1" t="s">
        <v>6</v>
      </c>
      <c r="D5" s="1"/>
      <c r="E5">
        <v>3</v>
      </c>
      <c r="F5" s="3" t="s">
        <v>20</v>
      </c>
      <c r="G5" s="8"/>
      <c r="H5" s="9"/>
      <c r="J5" s="15" t="s">
        <v>25</v>
      </c>
      <c r="K5" s="1">
        <v>1</v>
      </c>
      <c r="M5" s="11" t="s">
        <v>56</v>
      </c>
      <c r="N5" s="1">
        <v>1</v>
      </c>
      <c r="O5" s="1">
        <v>7</v>
      </c>
      <c r="P5" s="1" t="s">
        <v>70</v>
      </c>
      <c r="Q5" s="1" t="s">
        <v>70</v>
      </c>
      <c r="R5" s="1">
        <v>1</v>
      </c>
      <c r="S5" s="1">
        <v>1</v>
      </c>
      <c r="T5" s="1">
        <v>1</v>
      </c>
      <c r="U5" s="1">
        <v>1</v>
      </c>
      <c r="V5" s="1"/>
      <c r="W5" s="1">
        <v>1</v>
      </c>
      <c r="Y5" s="10">
        <v>3</v>
      </c>
      <c r="Z5" s="1">
        <v>0</v>
      </c>
    </row>
    <row r="6" spans="1:26" x14ac:dyDescent="0.2">
      <c r="A6" s="15" t="s">
        <v>7</v>
      </c>
      <c r="B6" s="1">
        <v>8000</v>
      </c>
      <c r="C6" s="1" t="s">
        <v>8</v>
      </c>
      <c r="D6" s="1"/>
      <c r="E6">
        <v>4</v>
      </c>
      <c r="F6" s="3" t="s">
        <v>21</v>
      </c>
      <c r="G6" s="8"/>
      <c r="H6" s="9"/>
      <c r="J6" s="15" t="s">
        <v>26</v>
      </c>
      <c r="K6" s="1">
        <v>1</v>
      </c>
      <c r="M6" s="11" t="s">
        <v>57</v>
      </c>
      <c r="N6" s="1">
        <v>6</v>
      </c>
      <c r="O6" s="1">
        <v>10</v>
      </c>
      <c r="P6" s="1"/>
      <c r="Q6" s="1" t="s">
        <v>70</v>
      </c>
      <c r="R6" s="1">
        <v>1</v>
      </c>
      <c r="S6" s="1"/>
      <c r="T6" s="1"/>
      <c r="U6" s="1">
        <v>1</v>
      </c>
      <c r="V6" s="1">
        <v>1</v>
      </c>
      <c r="W6" s="1"/>
      <c r="Y6" s="10">
        <v>4</v>
      </c>
      <c r="Z6" s="1">
        <v>0</v>
      </c>
    </row>
    <row r="7" spans="1:26" x14ac:dyDescent="0.2">
      <c r="E7">
        <v>5</v>
      </c>
      <c r="F7" s="6" t="s">
        <v>22</v>
      </c>
      <c r="G7" s="8"/>
      <c r="H7" s="9"/>
      <c r="J7" s="15" t="s">
        <v>27</v>
      </c>
      <c r="K7" s="1">
        <v>1</v>
      </c>
      <c r="M7" s="11" t="s">
        <v>58</v>
      </c>
      <c r="N7" s="1">
        <v>6</v>
      </c>
      <c r="O7" s="1">
        <v>13</v>
      </c>
      <c r="P7" s="1">
        <v>1</v>
      </c>
      <c r="Q7" s="1">
        <v>1</v>
      </c>
      <c r="R7" s="1">
        <v>3</v>
      </c>
      <c r="S7" s="1"/>
      <c r="T7" s="1"/>
      <c r="U7" s="1">
        <v>1</v>
      </c>
      <c r="V7" s="1">
        <v>2</v>
      </c>
      <c r="W7" s="1">
        <v>3</v>
      </c>
      <c r="Y7" s="10">
        <v>5</v>
      </c>
      <c r="Z7" s="1">
        <v>0</v>
      </c>
    </row>
    <row r="8" spans="1:26" x14ac:dyDescent="0.2">
      <c r="F8" s="17" t="s">
        <v>31</v>
      </c>
      <c r="H8" s="5"/>
      <c r="J8" s="14" t="s">
        <v>29</v>
      </c>
      <c r="M8" s="11" t="s">
        <v>59</v>
      </c>
      <c r="N8" s="1" t="s">
        <v>70</v>
      </c>
      <c r="O8" s="1">
        <v>1</v>
      </c>
      <c r="P8" s="1" t="s">
        <v>70</v>
      </c>
      <c r="Q8" s="1" t="s">
        <v>70</v>
      </c>
      <c r="R8" s="1" t="s">
        <v>70</v>
      </c>
      <c r="S8" s="1" t="s">
        <v>70</v>
      </c>
      <c r="T8" s="1" t="s">
        <v>70</v>
      </c>
      <c r="U8" s="1" t="s">
        <v>70</v>
      </c>
      <c r="V8" s="1" t="s">
        <v>70</v>
      </c>
      <c r="W8" s="1" t="s">
        <v>70</v>
      </c>
      <c r="Y8" s="10">
        <v>6</v>
      </c>
      <c r="Z8" s="1"/>
    </row>
    <row r="9" spans="1:26" x14ac:dyDescent="0.2">
      <c r="A9" s="13" t="s">
        <v>9</v>
      </c>
      <c r="B9" s="13" t="s">
        <v>10</v>
      </c>
      <c r="E9">
        <v>6</v>
      </c>
      <c r="F9" s="1" t="s">
        <v>32</v>
      </c>
      <c r="G9" s="1"/>
      <c r="H9" s="1"/>
      <c r="J9" s="15" t="s">
        <v>33</v>
      </c>
      <c r="K9" s="1">
        <v>1</v>
      </c>
      <c r="M9" s="11" t="s">
        <v>15</v>
      </c>
      <c r="N9" s="1" t="s">
        <v>70</v>
      </c>
      <c r="O9" s="1" t="s">
        <v>70</v>
      </c>
      <c r="P9" s="1">
        <v>1</v>
      </c>
      <c r="Q9" s="1" t="s">
        <v>70</v>
      </c>
      <c r="R9" s="1" t="s">
        <v>70</v>
      </c>
      <c r="S9" s="1" t="s">
        <v>70</v>
      </c>
      <c r="T9" s="1" t="s">
        <v>70</v>
      </c>
      <c r="U9" s="1" t="s">
        <v>70</v>
      </c>
      <c r="V9" s="1" t="s">
        <v>70</v>
      </c>
      <c r="W9" s="1" t="s">
        <v>70</v>
      </c>
      <c r="Y9" s="10">
        <v>7</v>
      </c>
      <c r="Z9" s="1"/>
    </row>
    <row r="10" spans="1:26" x14ac:dyDescent="0.2">
      <c r="A10" s="15" t="s">
        <v>11</v>
      </c>
      <c r="B10" s="18">
        <v>0.68</v>
      </c>
      <c r="E10">
        <v>7</v>
      </c>
      <c r="F10" s="1" t="s">
        <v>270</v>
      </c>
      <c r="G10" s="1"/>
      <c r="H10" s="1"/>
      <c r="J10" s="16" t="s">
        <v>34</v>
      </c>
      <c r="K10" s="1">
        <v>1</v>
      </c>
      <c r="M10" s="11" t="s">
        <v>60</v>
      </c>
      <c r="N10" s="1" t="s">
        <v>70</v>
      </c>
      <c r="O10" s="1" t="s">
        <v>70</v>
      </c>
      <c r="P10" s="1">
        <v>1</v>
      </c>
      <c r="Q10" s="1" t="s">
        <v>70</v>
      </c>
      <c r="R10" s="1" t="s">
        <v>70</v>
      </c>
      <c r="S10" s="1">
        <v>1</v>
      </c>
      <c r="T10" s="1" t="s">
        <v>70</v>
      </c>
      <c r="U10" s="1" t="s">
        <v>70</v>
      </c>
      <c r="V10" s="1" t="s">
        <v>70</v>
      </c>
      <c r="W10" s="1" t="s">
        <v>70</v>
      </c>
      <c r="Y10" s="10">
        <v>8</v>
      </c>
      <c r="Z10" s="1"/>
    </row>
    <row r="11" spans="1:26" x14ac:dyDescent="0.2">
      <c r="A11" s="15" t="s">
        <v>12</v>
      </c>
      <c r="B11" s="18">
        <v>0.2175</v>
      </c>
      <c r="C11" s="26"/>
      <c r="F11" s="14" t="s">
        <v>35</v>
      </c>
      <c r="H11" s="5"/>
      <c r="J11" s="14" t="s">
        <v>29</v>
      </c>
      <c r="M11" s="11" t="s">
        <v>61</v>
      </c>
      <c r="N11" s="1" t="s">
        <v>70</v>
      </c>
      <c r="O11" s="1" t="s">
        <v>70</v>
      </c>
      <c r="P11" s="1" t="s">
        <v>70</v>
      </c>
      <c r="Q11" s="1">
        <v>1</v>
      </c>
      <c r="R11" s="1" t="s">
        <v>70</v>
      </c>
      <c r="S11" s="1"/>
      <c r="T11" s="1"/>
      <c r="U11" s="1" t="s">
        <v>70</v>
      </c>
      <c r="V11" s="1" t="s">
        <v>70</v>
      </c>
      <c r="W11" s="1" t="s">
        <v>70</v>
      </c>
      <c r="Y11" s="10">
        <v>9</v>
      </c>
      <c r="Z11" s="1"/>
    </row>
    <row r="12" spans="1:26" x14ac:dyDescent="0.2">
      <c r="A12" s="15" t="s">
        <v>13</v>
      </c>
      <c r="B12" s="19">
        <f>0.0878</f>
        <v>8.7800000000000003E-2</v>
      </c>
      <c r="E12">
        <v>8</v>
      </c>
      <c r="F12" s="1" t="s">
        <v>36</v>
      </c>
      <c r="G12" s="6"/>
      <c r="H12" s="7"/>
      <c r="J12" s="16" t="s">
        <v>39</v>
      </c>
      <c r="K12" s="1">
        <v>0.45</v>
      </c>
      <c r="M12" s="11" t="s">
        <v>62</v>
      </c>
      <c r="N12" s="1" t="s">
        <v>70</v>
      </c>
      <c r="O12" s="1" t="s">
        <v>70</v>
      </c>
      <c r="P12" s="1" t="s">
        <v>70</v>
      </c>
      <c r="Q12" s="1">
        <v>2</v>
      </c>
      <c r="R12" s="1" t="s">
        <v>70</v>
      </c>
      <c r="S12" s="1"/>
      <c r="T12" s="1">
        <v>2</v>
      </c>
      <c r="U12" s="1" t="s">
        <v>70</v>
      </c>
      <c r="V12" s="1" t="s">
        <v>70</v>
      </c>
      <c r="W12" s="1" t="s">
        <v>70</v>
      </c>
      <c r="Y12" s="10">
        <v>10</v>
      </c>
      <c r="Z12" s="1"/>
    </row>
    <row r="13" spans="1:26" x14ac:dyDescent="0.2">
      <c r="A13" s="15" t="s">
        <v>14</v>
      </c>
      <c r="B13" s="18">
        <f>0.0061</f>
        <v>6.1000000000000004E-3</v>
      </c>
      <c r="C13" s="1">
        <f>B13*2</f>
        <v>1.2200000000000001E-2</v>
      </c>
      <c r="E13">
        <v>9</v>
      </c>
      <c r="F13" s="1" t="s">
        <v>37</v>
      </c>
      <c r="G13" s="6"/>
      <c r="H13" s="9"/>
      <c r="J13" s="16" t="s">
        <v>40</v>
      </c>
      <c r="K13" s="1">
        <v>0.45</v>
      </c>
      <c r="M13" s="11" t="s">
        <v>17</v>
      </c>
      <c r="N13" s="1" t="s">
        <v>70</v>
      </c>
      <c r="O13" s="1" t="s">
        <v>70</v>
      </c>
      <c r="P13" s="1" t="s">
        <v>70</v>
      </c>
      <c r="Q13" s="1" t="s">
        <v>70</v>
      </c>
      <c r="R13" s="1">
        <v>1</v>
      </c>
      <c r="S13" s="1"/>
      <c r="T13" s="1"/>
      <c r="U13" s="1" t="s">
        <v>70</v>
      </c>
      <c r="V13" s="1" t="s">
        <v>70</v>
      </c>
      <c r="W13" s="1" t="s">
        <v>70</v>
      </c>
    </row>
    <row r="14" spans="1:26" x14ac:dyDescent="0.2">
      <c r="A14" s="15" t="s">
        <v>15</v>
      </c>
      <c r="B14" s="20">
        <f>0.0001</f>
        <v>1E-4</v>
      </c>
      <c r="E14">
        <v>10</v>
      </c>
      <c r="F14" s="1" t="s">
        <v>38</v>
      </c>
      <c r="G14" s="3"/>
      <c r="H14" s="7"/>
      <c r="J14" s="16" t="s">
        <v>39</v>
      </c>
      <c r="K14" s="1">
        <v>0.45</v>
      </c>
      <c r="M14" s="11" t="s">
        <v>63</v>
      </c>
      <c r="N14" s="1" t="s">
        <v>70</v>
      </c>
      <c r="O14" s="1" t="s">
        <v>70</v>
      </c>
      <c r="P14" s="1" t="s">
        <v>70</v>
      </c>
      <c r="Q14" s="1" t="s">
        <v>70</v>
      </c>
      <c r="R14" s="1" t="s">
        <v>70</v>
      </c>
      <c r="S14" s="1">
        <v>1</v>
      </c>
      <c r="T14" s="1">
        <v>1</v>
      </c>
      <c r="U14" s="1" t="s">
        <v>70</v>
      </c>
      <c r="V14" s="1" t="s">
        <v>70</v>
      </c>
      <c r="W14" s="1" t="s">
        <v>70</v>
      </c>
    </row>
    <row r="15" spans="1:26" x14ac:dyDescent="0.2">
      <c r="A15" s="15" t="s">
        <v>16</v>
      </c>
      <c r="B15" s="18">
        <f>0.006</f>
        <v>6.0000000000000001E-3</v>
      </c>
      <c r="C15" s="1">
        <f>B15*2</f>
        <v>1.2E-2</v>
      </c>
      <c r="M15" s="11" t="s">
        <v>64</v>
      </c>
      <c r="N15" s="1" t="s">
        <v>70</v>
      </c>
      <c r="O15" s="1" t="s">
        <v>70</v>
      </c>
      <c r="P15" s="1" t="s">
        <v>70</v>
      </c>
      <c r="Q15" s="1" t="s">
        <v>70</v>
      </c>
      <c r="R15" s="1" t="s">
        <v>70</v>
      </c>
      <c r="S15" s="1">
        <v>1</v>
      </c>
      <c r="T15" s="1">
        <v>1</v>
      </c>
      <c r="U15" s="1" t="s">
        <v>70</v>
      </c>
      <c r="V15" s="1" t="s">
        <v>70</v>
      </c>
      <c r="W15" s="1" t="s">
        <v>70</v>
      </c>
    </row>
    <row r="16" spans="1:26" x14ac:dyDescent="0.2">
      <c r="A16" s="15" t="s">
        <v>17</v>
      </c>
      <c r="B16" s="21">
        <v>0.01</v>
      </c>
      <c r="M16" s="11" t="s">
        <v>65</v>
      </c>
      <c r="N16" s="1" t="s">
        <v>70</v>
      </c>
      <c r="O16" s="1" t="s">
        <v>70</v>
      </c>
      <c r="P16" s="1" t="s">
        <v>70</v>
      </c>
      <c r="Q16" s="1" t="s">
        <v>70</v>
      </c>
      <c r="R16" s="1" t="s">
        <v>70</v>
      </c>
      <c r="S16" s="1"/>
      <c r="T16" s="1"/>
      <c r="U16" s="1" t="s">
        <v>70</v>
      </c>
      <c r="V16" s="1" t="s">
        <v>70</v>
      </c>
      <c r="W16" s="1" t="s">
        <v>70</v>
      </c>
    </row>
    <row r="17" spans="1:25" x14ac:dyDescent="0.2">
      <c r="B17">
        <f>SUM(B10:B15)</f>
        <v>0.99750000000000005</v>
      </c>
      <c r="C17" s="26">
        <f>1-$B$17</f>
        <v>2.4999999999999467E-3</v>
      </c>
      <c r="G17" s="53" t="s">
        <v>78</v>
      </c>
      <c r="H17" s="54"/>
      <c r="I17" s="54"/>
      <c r="J17" s="55"/>
      <c r="K17" s="23"/>
      <c r="M17" s="11" t="s">
        <v>66</v>
      </c>
      <c r="N17" s="1" t="s">
        <v>70</v>
      </c>
      <c r="O17" s="1" t="s">
        <v>70</v>
      </c>
      <c r="P17" s="1" t="s">
        <v>70</v>
      </c>
      <c r="Q17" s="1" t="s">
        <v>70</v>
      </c>
      <c r="R17" s="1" t="s">
        <v>70</v>
      </c>
      <c r="S17" s="1" t="s">
        <v>70</v>
      </c>
      <c r="T17" s="1" t="s">
        <v>70</v>
      </c>
      <c r="U17" s="1" t="s">
        <v>70</v>
      </c>
      <c r="V17" s="1">
        <v>1</v>
      </c>
      <c r="W17" s="1">
        <v>1</v>
      </c>
    </row>
    <row r="18" spans="1:25" x14ac:dyDescent="0.2">
      <c r="A18" s="13" t="s">
        <v>41</v>
      </c>
      <c r="B18" s="11" t="s">
        <v>140</v>
      </c>
      <c r="C18" s="11" t="s">
        <v>138</v>
      </c>
      <c r="F18" s="11" t="s">
        <v>81</v>
      </c>
      <c r="G18" s="56" t="s">
        <v>79</v>
      </c>
      <c r="H18" s="56"/>
      <c r="I18" s="25">
        <f>1000000000</f>
        <v>1000000000</v>
      </c>
      <c r="J18" s="11" t="s">
        <v>138</v>
      </c>
      <c r="K18" s="23"/>
      <c r="M18" s="11" t="s">
        <v>67</v>
      </c>
      <c r="N18" s="1" t="s">
        <v>70</v>
      </c>
      <c r="O18" s="1" t="s">
        <v>70</v>
      </c>
      <c r="P18" s="1" t="s">
        <v>70</v>
      </c>
      <c r="Q18" s="1" t="s">
        <v>70</v>
      </c>
      <c r="R18" s="1" t="s">
        <v>70</v>
      </c>
      <c r="S18" s="1" t="s">
        <v>70</v>
      </c>
      <c r="T18" s="1" t="s">
        <v>70</v>
      </c>
      <c r="U18" s="1">
        <v>1</v>
      </c>
      <c r="V18" s="1"/>
      <c r="W18" s="1">
        <v>1</v>
      </c>
    </row>
    <row r="19" spans="1:25" x14ac:dyDescent="0.2">
      <c r="A19" s="13" t="s">
        <v>42</v>
      </c>
      <c r="B19" s="1">
        <f>G53</f>
        <v>4096.5053034124958</v>
      </c>
      <c r="C19" s="42">
        <f>I18</f>
        <v>1000000000</v>
      </c>
      <c r="G19" s="49" t="s">
        <v>82</v>
      </c>
      <c r="H19" s="49"/>
      <c r="I19" s="49" t="s">
        <v>141</v>
      </c>
      <c r="J19" s="49"/>
      <c r="K19" s="23"/>
    </row>
    <row r="20" spans="1:25" x14ac:dyDescent="0.2">
      <c r="A20" s="13" t="s">
        <v>43</v>
      </c>
      <c r="B20" s="83">
        <f>N22</f>
        <v>232000000</v>
      </c>
      <c r="C20" s="1"/>
      <c r="G20" s="48" t="s">
        <v>55</v>
      </c>
      <c r="H20" s="48"/>
      <c r="I20" s="108">
        <f>$I$18*B10</f>
        <v>680000000</v>
      </c>
      <c r="J20" s="51"/>
      <c r="K20">
        <f t="shared" ref="K20:K25" si="0">I20/1000</f>
        <v>680000</v>
      </c>
      <c r="M20" s="45" t="s">
        <v>110</v>
      </c>
      <c r="N20" s="45"/>
      <c r="O20" s="45"/>
      <c r="P20" s="45"/>
    </row>
    <row r="21" spans="1:25" x14ac:dyDescent="0.2">
      <c r="A21" s="13" t="s">
        <v>44</v>
      </c>
      <c r="B21" s="83">
        <f>N38</f>
        <v>532768366.54333514</v>
      </c>
      <c r="C21" s="1"/>
      <c r="G21" s="48" t="s">
        <v>59</v>
      </c>
      <c r="H21" s="48"/>
      <c r="I21" s="108">
        <f>$B$11*I18</f>
        <v>217500000</v>
      </c>
      <c r="J21" s="51"/>
      <c r="K21">
        <f>I21/1000</f>
        <v>217500</v>
      </c>
      <c r="M21" s="11" t="s">
        <v>101</v>
      </c>
      <c r="N21" s="1">
        <f>H64</f>
        <v>29000000</v>
      </c>
      <c r="O21" s="46">
        <f>7*N21</f>
        <v>203000000</v>
      </c>
      <c r="P21" s="47"/>
    </row>
    <row r="22" spans="1:25" x14ac:dyDescent="0.2">
      <c r="G22" s="48" t="s">
        <v>13</v>
      </c>
      <c r="H22" s="48"/>
      <c r="I22" s="108">
        <f>B12*$I$18</f>
        <v>87800000</v>
      </c>
      <c r="J22" s="51"/>
      <c r="K22" s="64">
        <f>I22/1000</f>
        <v>87800</v>
      </c>
      <c r="M22" s="11" t="s">
        <v>17</v>
      </c>
      <c r="N22" s="32">
        <f>SUM(N21,O21)</f>
        <v>232000000</v>
      </c>
      <c r="O22" s="46" t="s">
        <v>111</v>
      </c>
      <c r="P22" s="47"/>
    </row>
    <row r="23" spans="1:25" x14ac:dyDescent="0.2">
      <c r="A23" s="13" t="s">
        <v>73</v>
      </c>
      <c r="B23" s="13" t="s">
        <v>75</v>
      </c>
      <c r="C23" s="23"/>
      <c r="E23" t="s">
        <v>189</v>
      </c>
      <c r="G23" s="48" t="s">
        <v>84</v>
      </c>
      <c r="H23" s="48"/>
      <c r="I23" s="108">
        <f>B13*$I$18</f>
        <v>6100000</v>
      </c>
      <c r="J23" s="51"/>
      <c r="K23">
        <f t="shared" si="0"/>
        <v>6100</v>
      </c>
      <c r="N23">
        <f>N22/1000</f>
        <v>232000</v>
      </c>
      <c r="U23" s="28" t="s">
        <v>115</v>
      </c>
      <c r="Y23" s="31">
        <f>800+273.15</f>
        <v>1073.1500000000001</v>
      </c>
    </row>
    <row r="24" spans="1:25" x14ac:dyDescent="0.2">
      <c r="A24" s="11" t="s">
        <v>55</v>
      </c>
      <c r="B24" s="1">
        <v>162.13999999999999</v>
      </c>
      <c r="G24" s="48" t="s">
        <v>15</v>
      </c>
      <c r="H24" s="48"/>
      <c r="I24" s="108">
        <f>B14*$I$18</f>
        <v>100000</v>
      </c>
      <c r="J24" s="51"/>
      <c r="K24">
        <f t="shared" si="0"/>
        <v>100</v>
      </c>
      <c r="M24" s="45" t="s">
        <v>112</v>
      </c>
      <c r="N24" s="45"/>
      <c r="O24" s="45"/>
      <c r="P24" s="45"/>
    </row>
    <row r="25" spans="1:25" x14ac:dyDescent="0.2">
      <c r="A25" s="11" t="s">
        <v>56</v>
      </c>
      <c r="B25" s="1">
        <v>18.010000000000002</v>
      </c>
      <c r="G25" s="50" t="s">
        <v>83</v>
      </c>
      <c r="H25" s="50"/>
      <c r="I25" s="109">
        <f>B15*$I$18</f>
        <v>6000000</v>
      </c>
      <c r="J25" s="52"/>
      <c r="K25">
        <f t="shared" si="0"/>
        <v>6000</v>
      </c>
      <c r="M25" s="23" t="s">
        <v>113</v>
      </c>
      <c r="N25">
        <f>EXP((4577.8/Y23)-4.33)</f>
        <v>0.93777960473637978</v>
      </c>
      <c r="O25">
        <f>EXP((4577.8/800)-4.33)</f>
        <v>4.0238936358288653</v>
      </c>
    </row>
    <row r="26" spans="1:25" x14ac:dyDescent="0.2">
      <c r="A26" s="11" t="s">
        <v>57</v>
      </c>
      <c r="B26" s="1">
        <v>28.01</v>
      </c>
      <c r="F26" s="15" t="s">
        <v>80</v>
      </c>
      <c r="G26" s="15" t="s">
        <v>86</v>
      </c>
      <c r="H26" s="15" t="s">
        <v>85</v>
      </c>
      <c r="I26" s="15" t="s">
        <v>87</v>
      </c>
      <c r="J26" s="15" t="s">
        <v>85</v>
      </c>
      <c r="K26" s="15" t="s">
        <v>140</v>
      </c>
      <c r="M26" s="45" t="s">
        <v>114</v>
      </c>
      <c r="N26" s="45"/>
      <c r="O26" s="45"/>
      <c r="P26" s="45"/>
    </row>
    <row r="27" spans="1:25" x14ac:dyDescent="0.2">
      <c r="A27" s="11" t="s">
        <v>58</v>
      </c>
      <c r="B27" s="1">
        <v>2.016</v>
      </c>
      <c r="G27" s="24" t="s">
        <v>55</v>
      </c>
      <c r="H27" s="2">
        <f>I20/B24</f>
        <v>4193906.5005550762</v>
      </c>
      <c r="I27" s="24" t="s">
        <v>88</v>
      </c>
      <c r="J27" s="1">
        <f>H27*6</f>
        <v>25163439.003330458</v>
      </c>
      <c r="M27" s="28" t="s">
        <v>116</v>
      </c>
    </row>
    <row r="28" spans="1:25" x14ac:dyDescent="0.2">
      <c r="A28" s="11" t="s">
        <v>59</v>
      </c>
      <c r="B28" s="1">
        <v>509</v>
      </c>
      <c r="G28" s="24" t="s">
        <v>56</v>
      </c>
      <c r="H28" s="2">
        <f>H27</f>
        <v>4193906.5005550762</v>
      </c>
      <c r="I28" s="24" t="s">
        <v>89</v>
      </c>
      <c r="J28" s="1">
        <f>6*H28</f>
        <v>25163439.003330458</v>
      </c>
    </row>
    <row r="29" spans="1:25" x14ac:dyDescent="0.2">
      <c r="A29" s="11" t="s">
        <v>15</v>
      </c>
      <c r="B29" s="1">
        <v>32.06</v>
      </c>
      <c r="F29" s="15" t="s">
        <v>90</v>
      </c>
      <c r="G29" s="23"/>
      <c r="H29">
        <f>H27/1000</f>
        <v>4193.9065005550765</v>
      </c>
      <c r="K29" s="41" t="s">
        <v>134</v>
      </c>
      <c r="L29" s="41">
        <f>SUM(N30,N31)/H27</f>
        <v>1.7132155032936554</v>
      </c>
      <c r="M29" s="45" t="s">
        <v>117</v>
      </c>
      <c r="N29" s="45"/>
      <c r="O29" s="45"/>
      <c r="P29" s="45"/>
      <c r="R29" s="31" t="s">
        <v>119</v>
      </c>
      <c r="S29" s="31">
        <v>16300036.483160514</v>
      </c>
      <c r="U29">
        <f>S30/S29</f>
        <v>1.9999994871428493</v>
      </c>
    </row>
    <row r="30" spans="1:25" x14ac:dyDescent="0.2">
      <c r="A30" s="11" t="s">
        <v>60</v>
      </c>
      <c r="B30" s="1">
        <v>34.1</v>
      </c>
      <c r="G30" s="24" t="s">
        <v>59</v>
      </c>
      <c r="H30" s="1">
        <f>I21/B28</f>
        <v>427308.44793713163</v>
      </c>
      <c r="I30" s="24" t="s">
        <v>95</v>
      </c>
      <c r="J30" s="1">
        <f>10*H30</f>
        <v>4273084.4793713167</v>
      </c>
      <c r="M30">
        <v>1</v>
      </c>
      <c r="N30">
        <f>H28</f>
        <v>4193906.5005550762</v>
      </c>
      <c r="R30" t="s">
        <v>58</v>
      </c>
      <c r="S30">
        <v>32600064.606730759</v>
      </c>
    </row>
    <row r="31" spans="1:25" x14ac:dyDescent="0.2">
      <c r="A31" s="11" t="s">
        <v>61</v>
      </c>
      <c r="B31" s="1">
        <v>70.900000000000006</v>
      </c>
      <c r="G31" s="24" t="s">
        <v>94</v>
      </c>
      <c r="H31" s="1">
        <f>7*H30</f>
        <v>2991159.1355599212</v>
      </c>
      <c r="I31" s="24" t="s">
        <v>96</v>
      </c>
      <c r="J31" s="1">
        <f>13*H30</f>
        <v>5555009.8231827114</v>
      </c>
      <c r="M31">
        <v>2</v>
      </c>
      <c r="N31">
        <f>H31</f>
        <v>2991159.1355599212</v>
      </c>
      <c r="S31">
        <f>SUM(S29:S30)</f>
        <v>48900101.08989127</v>
      </c>
    </row>
    <row r="32" spans="1:25" x14ac:dyDescent="0.2">
      <c r="A32" s="11" t="s">
        <v>62</v>
      </c>
      <c r="B32" s="1">
        <v>36.450000000000003</v>
      </c>
      <c r="F32" s="15" t="s">
        <v>91</v>
      </c>
      <c r="G32" s="23"/>
      <c r="H32">
        <f>H30/1000</f>
        <v>427.30844793713163</v>
      </c>
      <c r="M32">
        <v>3</v>
      </c>
      <c r="N32">
        <v>0</v>
      </c>
      <c r="S32">
        <f>S31/1000</f>
        <v>48900.101089891272</v>
      </c>
    </row>
    <row r="33" spans="1:19" x14ac:dyDescent="0.2">
      <c r="A33" s="11" t="s">
        <v>17</v>
      </c>
      <c r="B33" s="1">
        <v>16.04</v>
      </c>
      <c r="G33" s="24" t="s">
        <v>15</v>
      </c>
      <c r="H33" s="1">
        <f>I24/B29</f>
        <v>3119.1515907673111</v>
      </c>
      <c r="I33" s="24" t="s">
        <v>97</v>
      </c>
      <c r="J33" s="1">
        <f>H33</f>
        <v>3119.1515907673111</v>
      </c>
      <c r="M33">
        <v>4</v>
      </c>
      <c r="N33">
        <v>0</v>
      </c>
    </row>
    <row r="34" spans="1:19" x14ac:dyDescent="0.2">
      <c r="A34" s="11" t="s">
        <v>63</v>
      </c>
      <c r="B34" s="1">
        <v>81.38</v>
      </c>
      <c r="G34" s="24" t="s">
        <v>58</v>
      </c>
      <c r="H34" s="1">
        <f>H33</f>
        <v>3119.1515907673111</v>
      </c>
      <c r="I34" s="24" t="s">
        <v>70</v>
      </c>
      <c r="J34" s="1"/>
      <c r="M34">
        <v>5</v>
      </c>
      <c r="N34">
        <f>H40</f>
        <v>232000000</v>
      </c>
      <c r="S34">
        <f>S29/1000</f>
        <v>16300.036483160515</v>
      </c>
    </row>
    <row r="35" spans="1:19" x14ac:dyDescent="0.2">
      <c r="A35" s="11" t="s">
        <v>64</v>
      </c>
      <c r="B35" s="1">
        <v>97.474000000000004</v>
      </c>
      <c r="F35" s="15" t="s">
        <v>92</v>
      </c>
      <c r="H35">
        <f>H33/100</f>
        <v>31.191515907673111</v>
      </c>
      <c r="M35">
        <v>6</v>
      </c>
      <c r="N35">
        <f>H65</f>
        <v>27195608.537355013</v>
      </c>
      <c r="S35">
        <f>S38/1000</f>
        <v>0</v>
      </c>
    </row>
    <row r="36" spans="1:19" x14ac:dyDescent="0.2">
      <c r="A36" s="11" t="s">
        <v>65</v>
      </c>
      <c r="B36" s="1">
        <v>136.286</v>
      </c>
      <c r="G36" s="24" t="s">
        <v>98</v>
      </c>
      <c r="H36" s="1">
        <f>(I25*2)/B31</f>
        <v>169252.4682651622</v>
      </c>
      <c r="I36" s="24" t="s">
        <v>99</v>
      </c>
      <c r="J36" s="1">
        <f>2*H36</f>
        <v>338504.9365303244</v>
      </c>
      <c r="M36" s="38" t="s">
        <v>133</v>
      </c>
      <c r="N36" s="38">
        <f>SUM(N30:N35)</f>
        <v>266380674.17346999</v>
      </c>
      <c r="O36">
        <f>N36/1000</f>
        <v>266380.67417347</v>
      </c>
    </row>
    <row r="37" spans="1:19" x14ac:dyDescent="0.2">
      <c r="A37" s="11" t="s">
        <v>66</v>
      </c>
      <c r="B37" s="1">
        <v>32.04</v>
      </c>
      <c r="G37" s="24" t="s">
        <v>58</v>
      </c>
      <c r="H37" s="1">
        <f>H36</f>
        <v>169252.4682651622</v>
      </c>
      <c r="I37" s="24" t="s">
        <v>70</v>
      </c>
      <c r="J37" s="1" t="s">
        <v>70</v>
      </c>
      <c r="M37" s="38" t="s">
        <v>135</v>
      </c>
      <c r="N37" s="38">
        <f>G53*L29</f>
        <v>7018.1963951309672</v>
      </c>
      <c r="O37" t="s">
        <v>137</v>
      </c>
    </row>
    <row r="38" spans="1:19" x14ac:dyDescent="0.2">
      <c r="A38" s="11" t="s">
        <v>67</v>
      </c>
      <c r="B38" s="1">
        <v>44.01</v>
      </c>
      <c r="F38" s="29" t="s">
        <v>93</v>
      </c>
      <c r="H38">
        <f>H36/1000</f>
        <v>169.25246826516221</v>
      </c>
      <c r="M38" s="38" t="s">
        <v>136</v>
      </c>
      <c r="N38" s="38">
        <f>SUM(N30:N37)</f>
        <v>532768366.54333514</v>
      </c>
      <c r="O38">
        <f>N38/1000</f>
        <v>532768.36654333514</v>
      </c>
    </row>
    <row r="39" spans="1:19" x14ac:dyDescent="0.2">
      <c r="A39" s="11" t="s">
        <v>77</v>
      </c>
      <c r="B39" s="1">
        <v>28</v>
      </c>
      <c r="G39" s="29" t="s">
        <v>100</v>
      </c>
      <c r="H39" s="1">
        <v>1692.52</v>
      </c>
      <c r="I39" s="29" t="s">
        <v>101</v>
      </c>
      <c r="J39" s="1">
        <f>N22</f>
        <v>232000000</v>
      </c>
      <c r="K39" s="28" t="s">
        <v>104</v>
      </c>
      <c r="N39" s="64">
        <f>N36/1000</f>
        <v>266380.67417347</v>
      </c>
    </row>
    <row r="40" spans="1:19" x14ac:dyDescent="0.2">
      <c r="A40" s="11" t="s">
        <v>13</v>
      </c>
      <c r="B40" s="1">
        <v>75.92</v>
      </c>
      <c r="G40" s="29" t="s">
        <v>56</v>
      </c>
      <c r="H40" s="1">
        <f>N22</f>
        <v>232000000</v>
      </c>
      <c r="I40" s="29" t="s">
        <v>102</v>
      </c>
      <c r="J40" s="1">
        <f>3*N22</f>
        <v>696000000</v>
      </c>
      <c r="N40" s="64">
        <f>N38/1000</f>
        <v>532768.36654333514</v>
      </c>
    </row>
    <row r="41" spans="1:19" x14ac:dyDescent="0.2">
      <c r="F41" s="15" t="s">
        <v>123</v>
      </c>
      <c r="H41">
        <f>(I23*2)/B39</f>
        <v>435714.28571428574</v>
      </c>
      <c r="I41">
        <f>H41/1000</f>
        <v>435.71428571428572</v>
      </c>
    </row>
    <row r="42" spans="1:19" x14ac:dyDescent="0.2">
      <c r="A42" s="13" t="s">
        <v>74</v>
      </c>
      <c r="B42" s="13" t="s">
        <v>76</v>
      </c>
      <c r="F42" s="33" t="s">
        <v>13</v>
      </c>
      <c r="H42">
        <f>(I22*B12)/B40</f>
        <v>101538.98840885142</v>
      </c>
      <c r="I42">
        <f>H42/1000</f>
        <v>101.53898840885142</v>
      </c>
    </row>
    <row r="43" spans="1:19" x14ac:dyDescent="0.2">
      <c r="A43" s="11" t="s">
        <v>55</v>
      </c>
      <c r="B43" s="1">
        <f>B10*B24</f>
        <v>110.2552</v>
      </c>
      <c r="F43" s="13" t="s">
        <v>73</v>
      </c>
      <c r="G43" s="13" t="s">
        <v>118</v>
      </c>
      <c r="H43" s="13" t="s">
        <v>139</v>
      </c>
    </row>
    <row r="44" spans="1:19" x14ac:dyDescent="0.2">
      <c r="A44" s="11" t="s">
        <v>59</v>
      </c>
      <c r="B44" s="1">
        <f>B28*B11</f>
        <v>110.7075</v>
      </c>
      <c r="F44" s="11" t="s">
        <v>119</v>
      </c>
      <c r="G44" s="35">
        <f>SUM(J27,J30,J39)</f>
        <v>261436523.48270178</v>
      </c>
      <c r="H44" s="13" t="s">
        <v>139</v>
      </c>
      <c r="I44" s="84">
        <v>29000000</v>
      </c>
      <c r="J44" s="36" t="s">
        <v>127</v>
      </c>
    </row>
    <row r="45" spans="1:19" x14ac:dyDescent="0.2">
      <c r="A45" s="11" t="s">
        <v>15</v>
      </c>
      <c r="B45" s="1">
        <f>B14*B29</f>
        <v>3.2060000000000005E-3</v>
      </c>
      <c r="F45" s="11" t="s">
        <v>120</v>
      </c>
      <c r="G45" s="1">
        <f>H41</f>
        <v>435714.28571428574</v>
      </c>
      <c r="H45" s="13" t="s">
        <v>139</v>
      </c>
      <c r="I45">
        <f>I44/1000</f>
        <v>29000</v>
      </c>
    </row>
    <row r="46" spans="1:19" x14ac:dyDescent="0.2">
      <c r="A46" s="15" t="s">
        <v>14</v>
      </c>
      <c r="B46" s="1">
        <f>B39*C13</f>
        <v>0.34160000000000001</v>
      </c>
      <c r="F46" s="11" t="s">
        <v>121</v>
      </c>
      <c r="G46" s="1">
        <f>H36</f>
        <v>169252.4682651622</v>
      </c>
      <c r="H46" s="13" t="s">
        <v>139</v>
      </c>
    </row>
    <row r="47" spans="1:19" x14ac:dyDescent="0.2">
      <c r="A47" s="15" t="s">
        <v>15</v>
      </c>
      <c r="B47" s="1">
        <f>B29*B14</f>
        <v>3.2060000000000005E-3</v>
      </c>
      <c r="E47">
        <f>G47/1000</f>
        <v>338.50493653032441</v>
      </c>
      <c r="F47" s="11" t="s">
        <v>122</v>
      </c>
      <c r="G47" s="1">
        <f>J36</f>
        <v>338504.9365303244</v>
      </c>
      <c r="H47" s="13" t="s">
        <v>139</v>
      </c>
      <c r="S47">
        <f>S46*3</f>
        <v>0</v>
      </c>
    </row>
    <row r="48" spans="1:19" x14ac:dyDescent="0.2">
      <c r="A48" s="15" t="s">
        <v>13</v>
      </c>
      <c r="B48" s="1">
        <f>B40*B12</f>
        <v>6.6657760000000001</v>
      </c>
      <c r="E48" s="30"/>
      <c r="F48" s="11" t="s">
        <v>97</v>
      </c>
      <c r="G48" s="1">
        <f>H34</f>
        <v>3119.1515907673111</v>
      </c>
      <c r="H48" s="13" t="s">
        <v>139</v>
      </c>
      <c r="I48">
        <f>G50/G44</f>
        <v>2.7797127927865719</v>
      </c>
    </row>
    <row r="49" spans="1:13" x14ac:dyDescent="0.2">
      <c r="B49">
        <f>B43+B44+B46+B47+B45+B48+A51</f>
        <v>228.40188799999999</v>
      </c>
      <c r="F49" s="11" t="s">
        <v>13</v>
      </c>
      <c r="G49" s="1">
        <f>H42</f>
        <v>101538.98840885142</v>
      </c>
      <c r="H49" s="13" t="s">
        <v>139</v>
      </c>
    </row>
    <row r="50" spans="1:13" x14ac:dyDescent="0.2">
      <c r="F50" s="11" t="s">
        <v>58</v>
      </c>
      <c r="G50" s="1">
        <f>SUM(J28,J31,J40)</f>
        <v>726718448.82651317</v>
      </c>
      <c r="H50" s="13" t="s">
        <v>139</v>
      </c>
      <c r="I50" s="31">
        <f>736000000</f>
        <v>736000000</v>
      </c>
      <c r="J50" s="36" t="s">
        <v>127</v>
      </c>
      <c r="L50" s="64"/>
    </row>
    <row r="51" spans="1:13" x14ac:dyDescent="0.2">
      <c r="A51">
        <f>B31*B15</f>
        <v>0.42540000000000006</v>
      </c>
      <c r="F51" s="11" t="s">
        <v>100</v>
      </c>
      <c r="G51" s="1">
        <f>H39</f>
        <v>1692.52</v>
      </c>
      <c r="H51" s="13" t="s">
        <v>139</v>
      </c>
      <c r="I51">
        <f>I50/1000</f>
        <v>736000</v>
      </c>
    </row>
    <row r="52" spans="1:13" x14ac:dyDescent="0.2">
      <c r="F52" s="11" t="s">
        <v>124</v>
      </c>
      <c r="G52" s="1">
        <f>SUM(H28,H31,H40,N37)</f>
        <v>239192083.83251011</v>
      </c>
      <c r="H52" s="13" t="s">
        <v>139</v>
      </c>
    </row>
    <row r="53" spans="1:13" x14ac:dyDescent="0.2">
      <c r="A53" t="s">
        <v>170</v>
      </c>
      <c r="F53" s="34" t="s">
        <v>125</v>
      </c>
      <c r="G53" s="32">
        <v>4096.5053034124958</v>
      </c>
      <c r="H53" s="13" t="s">
        <v>139</v>
      </c>
      <c r="I53">
        <f>G53/1000</f>
        <v>4.0965053034124956</v>
      </c>
    </row>
    <row r="54" spans="1:13" x14ac:dyDescent="0.2">
      <c r="A54" t="s">
        <v>171</v>
      </c>
      <c r="G54" s="57">
        <f>SUM(G44:G53)</f>
        <v>1228400974.9975379</v>
      </c>
    </row>
    <row r="55" spans="1:13" x14ac:dyDescent="0.2">
      <c r="G55">
        <f>G54/1000</f>
        <v>1228400.9749975379</v>
      </c>
    </row>
    <row r="57" spans="1:13" x14ac:dyDescent="0.2">
      <c r="H57">
        <v>2</v>
      </c>
    </row>
    <row r="58" spans="1:13" x14ac:dyDescent="0.2">
      <c r="G58" s="23" t="s">
        <v>103</v>
      </c>
      <c r="H58" s="28">
        <f>I51</f>
        <v>736000</v>
      </c>
    </row>
    <row r="61" spans="1:13" x14ac:dyDescent="0.2">
      <c r="G61" s="45" t="s">
        <v>105</v>
      </c>
      <c r="H61" s="45"/>
      <c r="I61" s="45"/>
      <c r="J61" s="45"/>
      <c r="L61" s="37" t="s">
        <v>73</v>
      </c>
      <c r="M61" s="37" t="s">
        <v>128</v>
      </c>
    </row>
    <row r="62" spans="1:13" x14ac:dyDescent="0.2">
      <c r="F62" s="15" t="s">
        <v>132</v>
      </c>
      <c r="G62" s="48" t="s">
        <v>106</v>
      </c>
      <c r="H62" s="48"/>
      <c r="I62" s="48"/>
      <c r="J62" s="48"/>
      <c r="L62" s="24" t="s">
        <v>101</v>
      </c>
      <c r="M62" s="1">
        <f>H64/H$72</f>
        <v>1.8965720942586035E-2</v>
      </c>
    </row>
    <row r="63" spans="1:13" x14ac:dyDescent="0.2">
      <c r="G63" s="48" t="s">
        <v>107</v>
      </c>
      <c r="H63" s="48"/>
      <c r="I63" s="48" t="s">
        <v>131</v>
      </c>
      <c r="J63" s="48"/>
      <c r="L63" s="24" t="s">
        <v>108</v>
      </c>
      <c r="M63" s="1" t="e">
        <f>#N/A</f>
        <v>#N/A</v>
      </c>
    </row>
    <row r="64" spans="1:13" x14ac:dyDescent="0.2">
      <c r="F64" t="s">
        <v>109</v>
      </c>
      <c r="G64" s="11" t="s">
        <v>101</v>
      </c>
      <c r="H64" s="1">
        <f>I44</f>
        <v>29000000</v>
      </c>
      <c r="I64" s="46">
        <f>H72*(1-M62)</f>
        <v>1500074485.8995991</v>
      </c>
      <c r="J64" s="47"/>
      <c r="L64" s="24" t="s">
        <v>62</v>
      </c>
      <c r="M64" s="1" t="e">
        <f>#N/A</f>
        <v>#N/A</v>
      </c>
    </row>
    <row r="65" spans="5:14" x14ac:dyDescent="0.2">
      <c r="G65" s="11" t="s">
        <v>108</v>
      </c>
      <c r="H65" s="1">
        <f>H64*N25</f>
        <v>27195608.537355013</v>
      </c>
      <c r="I65" s="46" t="e">
        <f>H72*(1-M63)</f>
        <v>#N/A</v>
      </c>
      <c r="J65" s="47"/>
      <c r="L65" s="24" t="s">
        <v>60</v>
      </c>
      <c r="M65" s="1" t="e">
        <f>#N/A</f>
        <v>#N/A</v>
      </c>
    </row>
    <row r="66" spans="5:14" x14ac:dyDescent="0.2">
      <c r="G66" s="11" t="s">
        <v>62</v>
      </c>
      <c r="H66" s="1">
        <f>G47</f>
        <v>338504.9365303244</v>
      </c>
      <c r="I66" s="46">
        <f>H66</f>
        <v>338504.9365303244</v>
      </c>
      <c r="J66" s="47"/>
      <c r="L66" s="24" t="s">
        <v>126</v>
      </c>
      <c r="M66" s="1" t="e">
        <f>#N/A</f>
        <v>#N/A</v>
      </c>
      <c r="N66">
        <v>0</v>
      </c>
    </row>
    <row r="67" spans="5:14" x14ac:dyDescent="0.2">
      <c r="G67" s="11" t="s">
        <v>60</v>
      </c>
      <c r="H67" s="1">
        <f>G48</f>
        <v>3119.1515907673111</v>
      </c>
      <c r="I67" s="46">
        <f>H67</f>
        <v>3119.1515907673111</v>
      </c>
      <c r="J67" s="47"/>
      <c r="L67" s="24" t="s">
        <v>13</v>
      </c>
      <c r="M67" s="1">
        <f>H69/H$72</f>
        <v>6.6405521343267383E-5</v>
      </c>
    </row>
    <row r="68" spans="5:14" x14ac:dyDescent="0.2">
      <c r="G68" s="11" t="s">
        <v>126</v>
      </c>
      <c r="H68" s="1">
        <f>H41</f>
        <v>435714.28571428574</v>
      </c>
      <c r="I68" s="46">
        <f>H68</f>
        <v>435714.28571428574</v>
      </c>
      <c r="J68" s="47"/>
      <c r="L68" s="24" t="s">
        <v>58</v>
      </c>
      <c r="M68" s="1" t="e">
        <f>#N/A</f>
        <v>#N/A</v>
      </c>
    </row>
    <row r="69" spans="5:14" x14ac:dyDescent="0.2">
      <c r="G69" s="11" t="s">
        <v>13</v>
      </c>
      <c r="H69" s="1">
        <f>H42</f>
        <v>101538.98840885142</v>
      </c>
      <c r="I69" s="46">
        <f>H69</f>
        <v>101538.98840885142</v>
      </c>
      <c r="J69" s="47"/>
      <c r="L69" s="24" t="s">
        <v>67</v>
      </c>
      <c r="M69" s="1" t="e">
        <f>#N/A</f>
        <v>#N/A</v>
      </c>
    </row>
    <row r="70" spans="5:14" x14ac:dyDescent="0.2">
      <c r="G70" s="11" t="s">
        <v>130</v>
      </c>
      <c r="H70" s="40">
        <f>I50</f>
        <v>736000000</v>
      </c>
      <c r="I70" s="46" t="e">
        <f>H70*(1-M68)</f>
        <v>#N/A</v>
      </c>
      <c r="J70" s="47"/>
      <c r="M70" s="22" t="e">
        <f>SUM(M62:M69)</f>
        <v>#N/A</v>
      </c>
    </row>
    <row r="71" spans="5:14" x14ac:dyDescent="0.2">
      <c r="G71" s="11" t="s">
        <v>67</v>
      </c>
      <c r="H71" s="40">
        <f>H70</f>
        <v>736000000</v>
      </c>
      <c r="I71" s="46">
        <f>I69</f>
        <v>101538.98840885142</v>
      </c>
      <c r="J71" s="47"/>
    </row>
    <row r="72" spans="5:14" x14ac:dyDescent="0.2">
      <c r="G72" s="11" t="s">
        <v>129</v>
      </c>
      <c r="H72" s="39">
        <f>SUM(H64:H71)</f>
        <v>1529074485.8995991</v>
      </c>
      <c r="I72" s="43" t="e">
        <f>SUM(I64:J70)</f>
        <v>#N/A</v>
      </c>
      <c r="J72" s="44"/>
    </row>
    <row r="76" spans="5:14" x14ac:dyDescent="0.2">
      <c r="G76" s="45" t="s">
        <v>142</v>
      </c>
      <c r="H76" s="45"/>
      <c r="I76" s="45"/>
      <c r="J76" s="45"/>
    </row>
    <row r="77" spans="5:14" x14ac:dyDescent="0.2">
      <c r="F77" s="27" t="s">
        <v>80</v>
      </c>
      <c r="G77" s="58" t="s">
        <v>73</v>
      </c>
      <c r="H77" s="58" t="s">
        <v>144</v>
      </c>
      <c r="I77" s="58" t="s">
        <v>82</v>
      </c>
      <c r="J77" s="58" t="s">
        <v>144</v>
      </c>
    </row>
    <row r="78" spans="5:14" x14ac:dyDescent="0.2">
      <c r="E78" t="s">
        <v>169</v>
      </c>
      <c r="G78" s="24" t="s">
        <v>143</v>
      </c>
      <c r="H78" s="1">
        <f>I67</f>
        <v>3119.1515907673111</v>
      </c>
      <c r="I78" s="24" t="s">
        <v>64</v>
      </c>
      <c r="J78" s="1">
        <f>H78</f>
        <v>3119.1515907673111</v>
      </c>
    </row>
    <row r="79" spans="5:14" x14ac:dyDescent="0.2">
      <c r="G79" s="24" t="s">
        <v>60</v>
      </c>
      <c r="H79" s="1">
        <f>H78</f>
        <v>3119.1515907673111</v>
      </c>
      <c r="I79" s="24" t="s">
        <v>108</v>
      </c>
      <c r="J79" s="1">
        <f>H79</f>
        <v>3119.1515907673111</v>
      </c>
    </row>
    <row r="80" spans="5:14" x14ac:dyDescent="0.2">
      <c r="F80" s="27" t="s">
        <v>90</v>
      </c>
      <c r="G80" s="1"/>
      <c r="H80" s="1"/>
      <c r="I80" s="1"/>
      <c r="J80" s="1">
        <f>SUM(J78:J79)/1000</f>
        <v>6.2383031815346222</v>
      </c>
    </row>
    <row r="81" spans="2:11" x14ac:dyDescent="0.2">
      <c r="G81" s="24" t="s">
        <v>63</v>
      </c>
      <c r="H81" s="1">
        <f>H66</f>
        <v>338504.9365303244</v>
      </c>
      <c r="I81" s="24" t="s">
        <v>65</v>
      </c>
      <c r="J81" s="1">
        <f>H81</f>
        <v>338504.9365303244</v>
      </c>
      <c r="K81">
        <f>J81/1000</f>
        <v>338.50493653032441</v>
      </c>
    </row>
    <row r="82" spans="2:11" x14ac:dyDescent="0.2">
      <c r="G82" s="24" t="s">
        <v>99</v>
      </c>
      <c r="H82" s="1">
        <f>2*H66</f>
        <v>677009.8730606488</v>
      </c>
      <c r="I82" s="24" t="s">
        <v>124</v>
      </c>
      <c r="J82" s="1">
        <f>J81</f>
        <v>338504.9365303244</v>
      </c>
    </row>
    <row r="84" spans="2:11" x14ac:dyDescent="0.2">
      <c r="G84" s="53" t="s">
        <v>145</v>
      </c>
      <c r="H84" s="54"/>
      <c r="I84" s="54"/>
      <c r="J84" s="55"/>
    </row>
    <row r="85" spans="2:11" x14ac:dyDescent="0.2">
      <c r="F85" s="15" t="s">
        <v>80</v>
      </c>
      <c r="G85" s="58" t="s">
        <v>73</v>
      </c>
      <c r="H85" s="58" t="s">
        <v>144</v>
      </c>
      <c r="I85" s="58" t="s">
        <v>82</v>
      </c>
      <c r="J85" s="58" t="s">
        <v>144</v>
      </c>
    </row>
    <row r="86" spans="2:11" x14ac:dyDescent="0.2">
      <c r="G86" s="24" t="s">
        <v>146</v>
      </c>
      <c r="H86" s="2">
        <f>H71/1000</f>
        <v>736000</v>
      </c>
      <c r="I86" s="24" t="s">
        <v>119</v>
      </c>
      <c r="J86" s="1">
        <f>(0.45*H86)/1000</f>
        <v>331.2</v>
      </c>
    </row>
    <row r="87" spans="2:11" x14ac:dyDescent="0.2">
      <c r="B87" s="23" t="s">
        <v>185</v>
      </c>
      <c r="C87" s="23" t="s">
        <v>186</v>
      </c>
      <c r="G87" s="24" t="s">
        <v>130</v>
      </c>
      <c r="H87" s="1">
        <f>H70/1000</f>
        <v>736000</v>
      </c>
      <c r="I87" s="24" t="s">
        <v>108</v>
      </c>
      <c r="J87" s="1">
        <f>(0.45*H87)/1000</f>
        <v>331.2</v>
      </c>
    </row>
    <row r="88" spans="2:11" x14ac:dyDescent="0.2">
      <c r="B88" t="s">
        <v>146</v>
      </c>
      <c r="C88">
        <f>SUM(H86,H97)</f>
        <v>1472000</v>
      </c>
      <c r="D88">
        <f>C88/1000</f>
        <v>1472</v>
      </c>
      <c r="F88" s="62" t="s">
        <v>147</v>
      </c>
      <c r="G88" s="61" t="s">
        <v>146</v>
      </c>
      <c r="H88" s="110">
        <f>(H86*(1-K12))</f>
        <v>404800.00000000006</v>
      </c>
    </row>
    <row r="89" spans="2:11" x14ac:dyDescent="0.2">
      <c r="B89" t="s">
        <v>130</v>
      </c>
      <c r="C89">
        <f>SUM(H87,H93,H98)</f>
        <v>3003092971.7991982</v>
      </c>
      <c r="D89">
        <f>C89/1000</f>
        <v>3003092.9717991981</v>
      </c>
      <c r="F89" s="62" t="s">
        <v>147</v>
      </c>
      <c r="G89" s="60" t="s">
        <v>130</v>
      </c>
      <c r="H89" s="59">
        <f>(H87*0.45)</f>
        <v>331200</v>
      </c>
    </row>
    <row r="91" spans="2:11" x14ac:dyDescent="0.2">
      <c r="F91" s="15" t="s">
        <v>90</v>
      </c>
    </row>
    <row r="92" spans="2:11" x14ac:dyDescent="0.2">
      <c r="E92" s="1"/>
      <c r="G92" s="24" t="s">
        <v>101</v>
      </c>
      <c r="H92" s="1">
        <f>I64</f>
        <v>1500074485.8995991</v>
      </c>
      <c r="I92" s="24" t="s">
        <v>149</v>
      </c>
      <c r="J92" s="1">
        <f>H92*0.45</f>
        <v>675033518.65481961</v>
      </c>
    </row>
    <row r="93" spans="2:11" x14ac:dyDescent="0.2">
      <c r="G93" s="24" t="s">
        <v>148</v>
      </c>
      <c r="H93" s="1">
        <f>2*H92</f>
        <v>3000148971.7991982</v>
      </c>
      <c r="I93" s="1" t="s">
        <v>70</v>
      </c>
      <c r="J93" s="1" t="s">
        <v>70</v>
      </c>
    </row>
    <row r="94" spans="2:11" x14ac:dyDescent="0.2">
      <c r="F94" s="63" t="s">
        <v>147</v>
      </c>
      <c r="G94" s="60" t="s">
        <v>101</v>
      </c>
      <c r="H94" s="59">
        <f>H92*(1-K13)</f>
        <v>825040967.24477959</v>
      </c>
      <c r="I94" s="1" t="s">
        <v>70</v>
      </c>
      <c r="J94" s="1" t="s">
        <v>70</v>
      </c>
    </row>
    <row r="96" spans="2:11" x14ac:dyDescent="0.2">
      <c r="F96" s="15" t="s">
        <v>91</v>
      </c>
      <c r="K96">
        <f>SUM(J92,J97)</f>
        <v>675364718.65481961</v>
      </c>
    </row>
    <row r="97" spans="4:13" x14ac:dyDescent="0.2">
      <c r="E97" t="s">
        <v>38</v>
      </c>
      <c r="G97" s="24" t="s">
        <v>146</v>
      </c>
      <c r="H97" s="1">
        <f>H86</f>
        <v>736000</v>
      </c>
      <c r="I97" s="24" t="s">
        <v>150</v>
      </c>
      <c r="J97" s="1">
        <f>H97*0.45</f>
        <v>331200</v>
      </c>
      <c r="K97">
        <f>K96/1000</f>
        <v>675364.71865481965</v>
      </c>
    </row>
    <row r="98" spans="4:13" x14ac:dyDescent="0.2">
      <c r="G98" s="24" t="s">
        <v>102</v>
      </c>
      <c r="H98" s="1">
        <f>3*H97</f>
        <v>2208000</v>
      </c>
      <c r="I98" s="24" t="s">
        <v>124</v>
      </c>
      <c r="J98" s="1">
        <f>H98*0.45</f>
        <v>993600</v>
      </c>
    </row>
    <row r="99" spans="4:13" x14ac:dyDescent="0.2">
      <c r="F99" s="63" t="s">
        <v>147</v>
      </c>
      <c r="G99" s="60" t="s">
        <v>146</v>
      </c>
      <c r="H99" s="111">
        <f>H97*(1-0.45)</f>
        <v>404800.00000000006</v>
      </c>
      <c r="I99" s="1" t="s">
        <v>70</v>
      </c>
      <c r="J99" s="1" t="s">
        <v>70</v>
      </c>
    </row>
    <row r="100" spans="4:13" x14ac:dyDescent="0.2">
      <c r="F100" s="63" t="s">
        <v>147</v>
      </c>
      <c r="G100" s="60" t="s">
        <v>102</v>
      </c>
      <c r="H100" s="59">
        <f>H98*0.45</f>
        <v>993600</v>
      </c>
      <c r="I100" s="1" t="s">
        <v>70</v>
      </c>
      <c r="J100" s="1" t="s">
        <v>70</v>
      </c>
    </row>
    <row r="101" spans="4:13" ht="17" thickBot="1" x14ac:dyDescent="0.25">
      <c r="F101" s="24" t="s">
        <v>178</v>
      </c>
      <c r="G101" s="1">
        <f>SUM(H88,H99)</f>
        <v>809600.00000000012</v>
      </c>
    </row>
    <row r="102" spans="4:13" x14ac:dyDescent="0.2">
      <c r="F102" s="24"/>
      <c r="G102" s="72">
        <f>G101/1000</f>
        <v>809.60000000000014</v>
      </c>
      <c r="H102" s="76" t="s">
        <v>184</v>
      </c>
      <c r="I102" s="73" t="s">
        <v>152</v>
      </c>
      <c r="J102" s="65">
        <f>SUM(J92,J97)</f>
        <v>675364718.65481961</v>
      </c>
    </row>
    <row r="103" spans="4:13" x14ac:dyDescent="0.2">
      <c r="F103" s="24" t="s">
        <v>179</v>
      </c>
      <c r="G103" s="3">
        <f>H89+H100</f>
        <v>1324800</v>
      </c>
      <c r="H103" s="77">
        <f>SUM(J92,J97)</f>
        <v>675364718.65481961</v>
      </c>
      <c r="I103" s="74" t="s">
        <v>151</v>
      </c>
      <c r="J103" s="1">
        <f>B3</f>
        <v>0.99970000000000003</v>
      </c>
      <c r="K103" s="81" t="s">
        <v>187</v>
      </c>
      <c r="L103" s="82"/>
      <c r="M103" s="80" t="s">
        <v>188</v>
      </c>
    </row>
    <row r="104" spans="4:13" x14ac:dyDescent="0.2">
      <c r="D104" t="s">
        <v>182</v>
      </c>
      <c r="F104" s="24"/>
      <c r="G104" s="72">
        <f>G103/1000</f>
        <v>1324.8</v>
      </c>
      <c r="H104" s="78">
        <f>H103/1000</f>
        <v>675364.71865481965</v>
      </c>
      <c r="I104" s="9" t="s">
        <v>158</v>
      </c>
      <c r="J104" s="2">
        <f>B2</f>
        <v>56000000</v>
      </c>
      <c r="K104" s="1" t="s">
        <v>159</v>
      </c>
    </row>
    <row r="105" spans="4:13" x14ac:dyDescent="0.2">
      <c r="F105" s="24" t="s">
        <v>180</v>
      </c>
      <c r="G105" s="3">
        <f>SUM(J87,J98)</f>
        <v>993931.2</v>
      </c>
      <c r="H105" s="77"/>
      <c r="I105" s="9" t="s">
        <v>153</v>
      </c>
      <c r="J105" s="1">
        <f>B37</f>
        <v>32.04</v>
      </c>
      <c r="K105" s="1" t="s">
        <v>154</v>
      </c>
    </row>
    <row r="106" spans="4:13" x14ac:dyDescent="0.2">
      <c r="F106" s="24"/>
      <c r="G106" s="72">
        <f>G105/1000</f>
        <v>993.93119999999999</v>
      </c>
      <c r="H106" s="77"/>
      <c r="I106" s="75" t="s">
        <v>155</v>
      </c>
      <c r="J106" s="66">
        <v>792</v>
      </c>
      <c r="K106" s="67" t="s">
        <v>156</v>
      </c>
    </row>
    <row r="107" spans="4:13" x14ac:dyDescent="0.2">
      <c r="F107" s="24" t="s">
        <v>181</v>
      </c>
      <c r="G107" s="3">
        <f>SUM(J86,H94,)</f>
        <v>825041298.44477963</v>
      </c>
      <c r="H107" s="77"/>
      <c r="J107" s="66">
        <f>J106*1000</f>
        <v>792000</v>
      </c>
      <c r="K107" s="67" t="s">
        <v>157</v>
      </c>
    </row>
    <row r="108" spans="4:13" x14ac:dyDescent="0.2">
      <c r="F108" s="24"/>
      <c r="G108" s="72">
        <f>G107/1000</f>
        <v>825041.29844477959</v>
      </c>
      <c r="H108" s="77"/>
      <c r="J108" s="66">
        <f>J107/264.2</f>
        <v>2997.7289931869796</v>
      </c>
      <c r="K108" s="67" t="s">
        <v>162</v>
      </c>
    </row>
    <row r="109" spans="4:13" ht="17" thickBot="1" x14ac:dyDescent="0.25">
      <c r="F109" t="s">
        <v>183</v>
      </c>
      <c r="G109" s="3">
        <f>SUM(G102,G104,G106,G108)</f>
        <v>828169.6296447796</v>
      </c>
      <c r="H109" s="79"/>
      <c r="I109" s="9" t="s">
        <v>160</v>
      </c>
      <c r="J109" s="2">
        <f>J108*J104</f>
        <v>167872823618.47086</v>
      </c>
      <c r="K109" s="1" t="s">
        <v>163</v>
      </c>
    </row>
    <row r="110" spans="4:13" x14ac:dyDescent="0.2">
      <c r="I110" s="68" t="s">
        <v>164</v>
      </c>
      <c r="J110" s="69">
        <f>J109/J105</f>
        <v>5239476392.5864811</v>
      </c>
      <c r="K110" s="68" t="s">
        <v>165</v>
      </c>
      <c r="L110" s="64">
        <f>J110</f>
        <v>5239476392.5864811</v>
      </c>
    </row>
    <row r="111" spans="4:13" x14ac:dyDescent="0.2">
      <c r="G111" s="31" t="s">
        <v>166</v>
      </c>
      <c r="I111" s="68" t="s">
        <v>164</v>
      </c>
      <c r="J111" s="69">
        <f>J110/365</f>
        <v>14354729.842702689</v>
      </c>
      <c r="K111" s="68" t="s">
        <v>167</v>
      </c>
      <c r="L111" s="64">
        <f>L112*8</f>
        <v>1427972.7798373839</v>
      </c>
    </row>
    <row r="112" spans="4:13" x14ac:dyDescent="0.2">
      <c r="I112" s="1"/>
      <c r="J112" s="69">
        <f>J111/8</f>
        <v>1794341.2303378361</v>
      </c>
      <c r="K112" s="68" t="s">
        <v>168</v>
      </c>
      <c r="L112" s="64">
        <v>178496.59747967299</v>
      </c>
      <c r="M112" s="64">
        <f>L112/1000</f>
        <v>178.496597479673</v>
      </c>
    </row>
    <row r="113" spans="9:11" x14ac:dyDescent="0.2">
      <c r="J113" s="64">
        <f>J112/1000</f>
        <v>1794.3412303378361</v>
      </c>
    </row>
    <row r="115" spans="9:11" x14ac:dyDescent="0.2">
      <c r="I115" t="s">
        <v>172</v>
      </c>
      <c r="J115" s="71">
        <v>100000</v>
      </c>
      <c r="K115" s="70" t="s">
        <v>138</v>
      </c>
    </row>
    <row r="116" spans="9:11" x14ac:dyDescent="0.2">
      <c r="I116" t="s">
        <v>173</v>
      </c>
      <c r="J116">
        <f>J115/B34</f>
        <v>1228.8031457360532</v>
      </c>
      <c r="K116" s="70" t="s">
        <v>139</v>
      </c>
    </row>
    <row r="117" spans="9:11" x14ac:dyDescent="0.2">
      <c r="I117" t="s">
        <v>174</v>
      </c>
      <c r="J117">
        <f>J116+H79</f>
        <v>4347.9547365033641</v>
      </c>
    </row>
    <row r="118" spans="9:11" x14ac:dyDescent="0.2">
      <c r="I118" t="s">
        <v>175</v>
      </c>
      <c r="J118">
        <f>2*J117</f>
        <v>8695.9094730067281</v>
      </c>
    </row>
    <row r="120" spans="9:11" x14ac:dyDescent="0.2">
      <c r="I120" t="s">
        <v>176</v>
      </c>
      <c r="K120">
        <f>J115/1000</f>
        <v>100</v>
      </c>
    </row>
    <row r="121" spans="9:11" x14ac:dyDescent="0.2">
      <c r="I121" t="s">
        <v>177</v>
      </c>
    </row>
    <row r="130" spans="9:13" x14ac:dyDescent="0.2">
      <c r="I130" s="64"/>
    </row>
    <row r="131" spans="9:13" x14ac:dyDescent="0.2">
      <c r="I131" s="64"/>
      <c r="K131" s="64"/>
    </row>
    <row r="132" spans="9:13" x14ac:dyDescent="0.2">
      <c r="K132" s="64"/>
      <c r="M132" s="64"/>
    </row>
    <row r="133" spans="9:13" x14ac:dyDescent="0.2">
      <c r="K133" s="64"/>
    </row>
    <row r="134" spans="9:13" x14ac:dyDescent="0.2">
      <c r="K134" s="64"/>
    </row>
    <row r="135" spans="9:13" x14ac:dyDescent="0.2">
      <c r="K135" s="64"/>
    </row>
    <row r="144" spans="9:13" x14ac:dyDescent="0.2">
      <c r="K144" s="64"/>
    </row>
    <row r="145" spans="11:11" x14ac:dyDescent="0.2">
      <c r="K145" s="64"/>
    </row>
    <row r="146" spans="11:11" x14ac:dyDescent="0.2">
      <c r="K146" s="64"/>
    </row>
    <row r="147" spans="11:11" x14ac:dyDescent="0.2">
      <c r="K147" s="64"/>
    </row>
    <row r="148" spans="11:11" x14ac:dyDescent="0.2">
      <c r="K148" s="64"/>
    </row>
    <row r="151" spans="11:11" x14ac:dyDescent="0.2">
      <c r="K151" s="64"/>
    </row>
  </sheetData>
  <pageMargins left="0.7" right="0.7" top="0.75" bottom="0.75" header="0.3" footer="0.3"/>
  <pageSetup scale="27" orientation="landscape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34A9E9-CEFB-284E-A08F-2184E715B1C9}">
  <sheetPr>
    <pageSetUpPr fitToPage="1"/>
  </sheetPr>
  <dimension ref="A1:X145"/>
  <sheetViews>
    <sheetView topLeftCell="A7" zoomScale="88" zoomScaleNormal="67" workbookViewId="0">
      <selection activeCell="C24" sqref="C24"/>
    </sheetView>
  </sheetViews>
  <sheetFormatPr baseColWidth="10" defaultRowHeight="16" x14ac:dyDescent="0.2"/>
  <cols>
    <col min="1" max="1" width="21.83203125" customWidth="1"/>
    <col min="2" max="2" width="19.6640625" customWidth="1"/>
    <col min="3" max="3" width="15.1640625" customWidth="1"/>
    <col min="4" max="4" width="14.6640625" customWidth="1"/>
    <col min="5" max="5" width="13.33203125" customWidth="1"/>
    <col min="6" max="6" width="16.1640625" customWidth="1"/>
    <col min="7" max="7" width="14.5" customWidth="1"/>
    <col min="8" max="8" width="12.6640625" customWidth="1"/>
    <col min="9" max="9" width="13.5" customWidth="1"/>
    <col min="24" max="24" width="12.6640625" bestFit="1" customWidth="1"/>
  </cols>
  <sheetData>
    <row r="1" spans="1:24" x14ac:dyDescent="0.2">
      <c r="A1" s="23" t="s">
        <v>190</v>
      </c>
    </row>
    <row r="3" spans="1:24" x14ac:dyDescent="0.2">
      <c r="A3" s="87" t="s">
        <v>191</v>
      </c>
      <c r="B3" s="87">
        <v>0.997</v>
      </c>
      <c r="D3" t="s">
        <v>193</v>
      </c>
      <c r="I3" s="112">
        <f>1070000*24</f>
        <v>25680000</v>
      </c>
    </row>
    <row r="4" spans="1:24" x14ac:dyDescent="0.2">
      <c r="A4" s="87" t="s">
        <v>192</v>
      </c>
      <c r="B4" s="87">
        <v>0.99</v>
      </c>
    </row>
    <row r="5" spans="1:24" x14ac:dyDescent="0.2">
      <c r="X5">
        <v>3362257256.6627698</v>
      </c>
    </row>
    <row r="6" spans="1:24" x14ac:dyDescent="0.2">
      <c r="A6" t="s">
        <v>202</v>
      </c>
      <c r="X6">
        <v>4031571452.4107199</v>
      </c>
    </row>
    <row r="7" spans="1:24" x14ac:dyDescent="0.2">
      <c r="B7" t="s">
        <v>209</v>
      </c>
      <c r="C7" t="s">
        <v>209</v>
      </c>
      <c r="F7" t="s">
        <v>201</v>
      </c>
      <c r="G7" t="s">
        <v>206</v>
      </c>
      <c r="X7">
        <v>4057502458.8070502</v>
      </c>
    </row>
    <row r="8" spans="1:24" x14ac:dyDescent="0.2">
      <c r="A8" s="85" t="s">
        <v>194</v>
      </c>
      <c r="B8" s="85" t="s">
        <v>198</v>
      </c>
      <c r="C8" s="85" t="s">
        <v>203</v>
      </c>
      <c r="D8" s="85" t="s">
        <v>199</v>
      </c>
      <c r="E8" s="85" t="s">
        <v>200</v>
      </c>
      <c r="F8" s="85" t="s">
        <v>204</v>
      </c>
      <c r="G8" s="85" t="s">
        <v>205</v>
      </c>
      <c r="H8" s="85" t="s">
        <v>207</v>
      </c>
      <c r="I8" s="85" t="s">
        <v>208</v>
      </c>
      <c r="J8" s="31" t="s">
        <v>211</v>
      </c>
      <c r="X8">
        <v>4078769782.45259</v>
      </c>
    </row>
    <row r="9" spans="1:24" x14ac:dyDescent="0.2">
      <c r="A9" s="88" t="s">
        <v>195</v>
      </c>
      <c r="B9" s="64">
        <v>0.58549959802904805</v>
      </c>
      <c r="C9">
        <v>179545.75568825999</v>
      </c>
      <c r="D9">
        <v>0.99970000000000003</v>
      </c>
      <c r="E9">
        <f>1-D9</f>
        <v>2.9999999999996696E-4</v>
      </c>
      <c r="F9">
        <f>C9*D9</f>
        <v>179491.89196155351</v>
      </c>
      <c r="G9">
        <f t="shared" ref="G9:G14" si="0">C9*E9</f>
        <v>53.863726706472065</v>
      </c>
      <c r="H9">
        <v>0.99970876636667905</v>
      </c>
      <c r="I9" s="64">
        <v>4.0022261513141403E-3</v>
      </c>
      <c r="X9">
        <v>4100033377.9282899</v>
      </c>
    </row>
    <row r="10" spans="1:24" x14ac:dyDescent="0.2">
      <c r="A10" s="89" t="s">
        <v>196</v>
      </c>
      <c r="B10" s="64">
        <v>0.37657348157994902</v>
      </c>
      <c r="C10">
        <v>99747.6420490335</v>
      </c>
      <c r="D10">
        <v>2.9999999999999997E-4</v>
      </c>
      <c r="E10">
        <f>1-D10</f>
        <v>0.99970000000000003</v>
      </c>
      <c r="F10">
        <f t="shared" ref="F10:F14" si="1">C10*D10</f>
        <v>29.924292614710048</v>
      </c>
      <c r="G10">
        <f t="shared" si="0"/>
        <v>99717.717756418788</v>
      </c>
      <c r="H10" s="64">
        <v>1.7285997817826501E-4</v>
      </c>
      <c r="I10">
        <v>0.99599777384702803</v>
      </c>
      <c r="X10">
        <v>4121345931.48316</v>
      </c>
    </row>
    <row r="11" spans="1:24" x14ac:dyDescent="0.2">
      <c r="A11" s="86" t="s">
        <v>119</v>
      </c>
      <c r="B11">
        <v>50.580520570159301</v>
      </c>
      <c r="C11">
        <v>2.3203706186221398</v>
      </c>
      <c r="D11">
        <v>1E-4</v>
      </c>
      <c r="E11">
        <f>1-D11</f>
        <v>0.99990000000000001</v>
      </c>
      <c r="F11">
        <f t="shared" si="1"/>
        <v>2.3203706186221399E-4</v>
      </c>
      <c r="G11">
        <f t="shared" si="0"/>
        <v>2.3201385815602777</v>
      </c>
      <c r="H11" s="64">
        <v>8.7840073070006506E-5</v>
      </c>
      <c r="I11" s="64">
        <v>1.9957634800052599E-13</v>
      </c>
      <c r="X11">
        <v>4142710906.5208602</v>
      </c>
    </row>
    <row r="12" spans="1:24" x14ac:dyDescent="0.2">
      <c r="A12" s="86" t="s">
        <v>146</v>
      </c>
      <c r="B12">
        <v>43.631981606681897</v>
      </c>
      <c r="C12">
        <v>5.8712513887384397</v>
      </c>
      <c r="D12">
        <v>1E-4</v>
      </c>
      <c r="E12">
        <f>1-D12</f>
        <v>0.99990000000000001</v>
      </c>
      <c r="F12">
        <f t="shared" si="1"/>
        <v>5.8712513887384404E-4</v>
      </c>
      <c r="G12">
        <f t="shared" si="0"/>
        <v>5.8706642635995658</v>
      </c>
      <c r="H12" s="64">
        <v>3.73554828683742E-10</v>
      </c>
      <c r="I12" s="64">
        <v>3.5471265398078699E-18</v>
      </c>
      <c r="X12">
        <v>4164123825.0036101</v>
      </c>
    </row>
    <row r="13" spans="1:24" x14ac:dyDescent="0.2">
      <c r="A13" s="86" t="s">
        <v>126</v>
      </c>
      <c r="B13">
        <v>813.60195982661003</v>
      </c>
      <c r="C13" s="64">
        <v>8.6449115275562496E-2</v>
      </c>
      <c r="D13">
        <v>1.0000000000000001E-5</v>
      </c>
      <c r="E13">
        <f>1-D13</f>
        <v>0.99999000000000005</v>
      </c>
      <c r="F13">
        <f t="shared" si="1"/>
        <v>8.6449115275562499E-7</v>
      </c>
      <c r="G13">
        <f t="shared" si="0"/>
        <v>8.644825078440975E-2</v>
      </c>
      <c r="H13" s="64">
        <v>1.8558548854355101E-6</v>
      </c>
      <c r="I13" s="64">
        <v>5.0366574270467601E-15</v>
      </c>
      <c r="X13">
        <v>4185581916.31849</v>
      </c>
    </row>
    <row r="14" spans="1:24" x14ac:dyDescent="0.2">
      <c r="A14" s="86" t="s">
        <v>210</v>
      </c>
      <c r="B14">
        <v>432.6</v>
      </c>
      <c r="C14">
        <v>698.32419158367702</v>
      </c>
      <c r="D14">
        <v>5.0000000000000001E-3</v>
      </c>
      <c r="E14">
        <v>0</v>
      </c>
      <c r="F14">
        <f t="shared" si="1"/>
        <v>3.4916209579183852</v>
      </c>
      <c r="G14">
        <f t="shared" si="0"/>
        <v>0</v>
      </c>
      <c r="H14" s="64">
        <v>2.86773536327406E-5</v>
      </c>
      <c r="I14" s="64">
        <v>1.4535303845263701E-12</v>
      </c>
      <c r="X14">
        <v>4207091436.7783699</v>
      </c>
    </row>
    <row r="15" spans="1:24" x14ac:dyDescent="0.2">
      <c r="A15" s="86"/>
      <c r="C15">
        <f t="shared" ref="C15:I15" si="2">SUM(C8:C14)</f>
        <v>279999.99999999983</v>
      </c>
      <c r="D15">
        <f t="shared" si="2"/>
        <v>1.0052099999999999</v>
      </c>
      <c r="E15">
        <f t="shared" si="2"/>
        <v>3.99979</v>
      </c>
      <c r="F15">
        <f t="shared" si="2"/>
        <v>179525.30869515284</v>
      </c>
      <c r="G15">
        <f t="shared" si="2"/>
        <v>99779.858734221212</v>
      </c>
      <c r="H15">
        <f t="shared" si="2"/>
        <v>1.0000000000000004</v>
      </c>
      <c r="I15">
        <f t="shared" si="2"/>
        <v>1.0000000000000004</v>
      </c>
      <c r="X15">
        <v>4228625673.47928</v>
      </c>
    </row>
    <row r="16" spans="1:24" x14ac:dyDescent="0.2">
      <c r="X16">
        <v>4250151178.03544</v>
      </c>
    </row>
    <row r="17" spans="1:24" x14ac:dyDescent="0.2">
      <c r="A17" s="23" t="s">
        <v>212</v>
      </c>
      <c r="B17">
        <v>13.23</v>
      </c>
      <c r="C17" s="36" t="s">
        <v>215</v>
      </c>
      <c r="X17">
        <v>4271658396.0936098</v>
      </c>
    </row>
    <row r="18" spans="1:24" x14ac:dyDescent="0.2">
      <c r="A18" s="23" t="s">
        <v>214</v>
      </c>
      <c r="B18">
        <v>3.87</v>
      </c>
      <c r="C18" s="36" t="s">
        <v>215</v>
      </c>
      <c r="X18">
        <v>4293049640.5283699</v>
      </c>
    </row>
    <row r="19" spans="1:24" x14ac:dyDescent="0.2">
      <c r="A19" s="23" t="s">
        <v>213</v>
      </c>
      <c r="B19">
        <v>3.5790000000000002</v>
      </c>
      <c r="C19" s="36" t="s">
        <v>215</v>
      </c>
      <c r="X19">
        <v>4314253921.0114098</v>
      </c>
    </row>
    <row r="20" spans="1:24" x14ac:dyDescent="0.2">
      <c r="X20">
        <v>4335085364.7561398</v>
      </c>
    </row>
    <row r="21" spans="1:24" x14ac:dyDescent="0.2">
      <c r="A21" t="s">
        <v>202</v>
      </c>
      <c r="X21">
        <v>4355261399.4666204</v>
      </c>
    </row>
    <row r="22" spans="1:24" x14ac:dyDescent="0.2">
      <c r="B22" t="s">
        <v>209</v>
      </c>
      <c r="C22" t="s">
        <v>209</v>
      </c>
      <c r="F22" t="s">
        <v>201</v>
      </c>
      <c r="G22" t="s">
        <v>206</v>
      </c>
      <c r="X22">
        <v>4374375167.1847</v>
      </c>
    </row>
    <row r="23" spans="1:24" x14ac:dyDescent="0.2">
      <c r="A23" s="85" t="s">
        <v>194</v>
      </c>
      <c r="B23" s="85" t="s">
        <v>198</v>
      </c>
      <c r="C23" s="85" t="s">
        <v>203</v>
      </c>
      <c r="D23" s="85" t="s">
        <v>199</v>
      </c>
      <c r="E23" s="85" t="s">
        <v>200</v>
      </c>
      <c r="F23" s="85" t="s">
        <v>204</v>
      </c>
      <c r="G23" s="85" t="s">
        <v>205</v>
      </c>
      <c r="H23" s="85" t="s">
        <v>207</v>
      </c>
      <c r="I23" s="85" t="s">
        <v>208</v>
      </c>
      <c r="J23" s="31" t="s">
        <v>216</v>
      </c>
      <c r="X23">
        <v>4391767189.4263697</v>
      </c>
    </row>
    <row r="24" spans="1:24" x14ac:dyDescent="0.2">
      <c r="A24" s="86" t="s">
        <v>195</v>
      </c>
      <c r="B24" s="64">
        <v>1.866E-2</v>
      </c>
      <c r="C24">
        <v>179545.75568825999</v>
      </c>
      <c r="D24">
        <v>0.99970000000000003</v>
      </c>
      <c r="E24">
        <v>0.01</v>
      </c>
      <c r="F24">
        <f t="shared" ref="F24:F29" si="3">C24*D24</f>
        <v>179491.89196155351</v>
      </c>
      <c r="G24">
        <f>C24*E24</f>
        <v>1795.4575568825999</v>
      </c>
      <c r="H24">
        <v>0.99967253940612499</v>
      </c>
      <c r="I24">
        <v>4.0000000000000001E-3</v>
      </c>
      <c r="X24">
        <v>4406442287.3660498</v>
      </c>
    </row>
    <row r="25" spans="1:24" x14ac:dyDescent="0.2">
      <c r="A25" s="86" t="s">
        <v>196</v>
      </c>
      <c r="B25" s="64">
        <v>4.9199999999999999E-3</v>
      </c>
      <c r="C25">
        <v>99747.6420490335</v>
      </c>
      <c r="D25">
        <v>2.9999999999999997E-4</v>
      </c>
      <c r="E25">
        <v>0.99</v>
      </c>
      <c r="F25">
        <f t="shared" si="3"/>
        <v>29.924292614710048</v>
      </c>
      <c r="G25">
        <f t="shared" ref="G25:G29" si="4">C25*E25</f>
        <v>98750.165628543167</v>
      </c>
      <c r="H25" s="64">
        <v>7.04796745905637E-6</v>
      </c>
      <c r="I25">
        <v>0.996</v>
      </c>
      <c r="X25">
        <v>4416837294.3460102</v>
      </c>
    </row>
    <row r="26" spans="1:24" x14ac:dyDescent="0.2">
      <c r="A26" s="86" t="s">
        <v>119</v>
      </c>
      <c r="B26">
        <v>272.2</v>
      </c>
      <c r="C26">
        <v>2.3203706186221398</v>
      </c>
      <c r="D26">
        <v>1E-4</v>
      </c>
      <c r="E26">
        <v>0</v>
      </c>
      <c r="F26">
        <f t="shared" si="3"/>
        <v>2.3203706186221399E-4</v>
      </c>
      <c r="G26">
        <f t="shared" si="4"/>
        <v>0</v>
      </c>
      <c r="H26" s="64">
        <v>1.2074476680528999E-6</v>
      </c>
      <c r="I26">
        <v>0</v>
      </c>
      <c r="X26">
        <v>4420518339.9695997</v>
      </c>
    </row>
    <row r="27" spans="1:24" x14ac:dyDescent="0.2">
      <c r="A27" s="86" t="s">
        <v>146</v>
      </c>
      <c r="B27">
        <v>52.65</v>
      </c>
      <c r="C27">
        <v>5.8712513887384397</v>
      </c>
      <c r="D27">
        <v>1E-4</v>
      </c>
      <c r="E27">
        <v>0</v>
      </c>
      <c r="F27">
        <f t="shared" si="3"/>
        <v>5.8712513887384404E-4</v>
      </c>
      <c r="G27">
        <f t="shared" si="4"/>
        <v>0</v>
      </c>
      <c r="H27">
        <v>8.9999999999999998E-4</v>
      </c>
      <c r="I27">
        <v>0</v>
      </c>
      <c r="X27">
        <v>4413594589.1400299</v>
      </c>
    </row>
    <row r="28" spans="1:24" x14ac:dyDescent="0.2">
      <c r="A28" s="86" t="s">
        <v>126</v>
      </c>
      <c r="B28">
        <v>0</v>
      </c>
      <c r="C28" s="64">
        <v>8.6449115275562496E-2</v>
      </c>
      <c r="D28">
        <v>1.0000000000000001E-5</v>
      </c>
      <c r="E28">
        <v>0</v>
      </c>
      <c r="F28">
        <f t="shared" si="3"/>
        <v>8.6449115275562499E-7</v>
      </c>
      <c r="G28">
        <f t="shared" si="4"/>
        <v>0</v>
      </c>
      <c r="H28" s="64">
        <v>4.2634288854674699E-9</v>
      </c>
      <c r="I28">
        <v>0</v>
      </c>
      <c r="X28">
        <v>4389765727.09305</v>
      </c>
    </row>
    <row r="29" spans="1:24" x14ac:dyDescent="0.2">
      <c r="A29" s="86" t="s">
        <v>210</v>
      </c>
      <c r="B29">
        <v>432.6</v>
      </c>
      <c r="C29">
        <v>698.32419158367702</v>
      </c>
      <c r="D29">
        <v>5.0000000000000001E-3</v>
      </c>
      <c r="E29">
        <v>0</v>
      </c>
      <c r="F29">
        <f t="shared" si="3"/>
        <v>3.4916209579183852</v>
      </c>
      <c r="G29">
        <f t="shared" si="4"/>
        <v>0</v>
      </c>
      <c r="H29" s="64">
        <v>2.9055487544397902E-4</v>
      </c>
      <c r="I29">
        <v>0</v>
      </c>
      <c r="X29">
        <v>4338537214.5123701</v>
      </c>
    </row>
    <row r="30" spans="1:24" x14ac:dyDescent="0.2">
      <c r="A30" s="86"/>
      <c r="B30" s="64">
        <f>SUM(B24:B29)</f>
        <v>757.47357999999997</v>
      </c>
      <c r="C30" s="64">
        <f t="shared" ref="C30:I30" si="5">SUM(C24:C29)</f>
        <v>279999.99999999983</v>
      </c>
      <c r="D30" s="64">
        <f t="shared" si="5"/>
        <v>1.0052099999999999</v>
      </c>
      <c r="E30" s="64">
        <f t="shared" si="5"/>
        <v>1</v>
      </c>
      <c r="F30" s="64">
        <f t="shared" si="5"/>
        <v>179525.30869515284</v>
      </c>
      <c r="G30" s="64">
        <f t="shared" si="5"/>
        <v>100545.62318542576</v>
      </c>
      <c r="H30" s="64">
        <f t="shared" si="5"/>
        <v>1.0008713539601251</v>
      </c>
      <c r="I30" s="64">
        <f t="shared" si="5"/>
        <v>1</v>
      </c>
      <c r="X30">
        <v>4242025129.9219899</v>
      </c>
    </row>
    <row r="31" spans="1:24" x14ac:dyDescent="0.2">
      <c r="X31">
        <v>4070912123.10637</v>
      </c>
    </row>
    <row r="32" spans="1:24" x14ac:dyDescent="0.2">
      <c r="A32" s="86" t="s">
        <v>219</v>
      </c>
      <c r="B32" s="86" t="s">
        <v>218</v>
      </c>
      <c r="C32" s="86" t="s">
        <v>220</v>
      </c>
      <c r="X32">
        <v>3798035493.4356799</v>
      </c>
    </row>
    <row r="33" spans="1:24" x14ac:dyDescent="0.2">
      <c r="A33" s="86" t="s">
        <v>195</v>
      </c>
      <c r="B33">
        <v>535776.13335782394</v>
      </c>
      <c r="C33">
        <v>0.64123484174378698</v>
      </c>
      <c r="X33">
        <v>3528141085.88627</v>
      </c>
    </row>
    <row r="34" spans="1:24" x14ac:dyDescent="0.2">
      <c r="A34" s="86" t="s">
        <v>196</v>
      </c>
      <c r="B34">
        <v>535314.695872018</v>
      </c>
      <c r="C34">
        <v>0.35624157874654799</v>
      </c>
      <c r="X34">
        <v>3400849037.2475901</v>
      </c>
    </row>
    <row r="35" spans="1:24" x14ac:dyDescent="0.2">
      <c r="A35" s="86" t="s">
        <v>119</v>
      </c>
      <c r="B35">
        <v>27.560933222540601</v>
      </c>
      <c r="C35" s="64">
        <v>8.2870379236504892E-6</v>
      </c>
      <c r="X35">
        <v>3436274690.34622</v>
      </c>
    </row>
    <row r="36" spans="1:24" x14ac:dyDescent="0.2">
      <c r="A36" s="86" t="s">
        <v>146</v>
      </c>
      <c r="B36">
        <v>31.379924350603599</v>
      </c>
      <c r="C36" s="64">
        <v>2.0968754959780099E-5</v>
      </c>
      <c r="X36">
        <v>39480072.4978818</v>
      </c>
    </row>
    <row r="37" spans="1:24" x14ac:dyDescent="0.2">
      <c r="A37" s="86" t="s">
        <v>126</v>
      </c>
      <c r="B37" s="64">
        <v>0.45908877827897399</v>
      </c>
      <c r="C37" s="64">
        <v>3.08746840269866E-7</v>
      </c>
      <c r="X37">
        <f>AVERAGE(X5:X35)</f>
        <v>4133133847.9586806</v>
      </c>
    </row>
    <row r="38" spans="1:24" x14ac:dyDescent="0.2">
      <c r="A38" s="86" t="s">
        <v>197</v>
      </c>
      <c r="B38">
        <v>0</v>
      </c>
      <c r="C38" s="64">
        <v>0</v>
      </c>
    </row>
    <row r="39" spans="1:24" x14ac:dyDescent="0.2">
      <c r="A39" s="86" t="s">
        <v>210</v>
      </c>
      <c r="B39">
        <v>3760.4463787927598</v>
      </c>
      <c r="C39" s="64">
        <v>2.4940149699417E-3</v>
      </c>
    </row>
    <row r="40" spans="1:24" x14ac:dyDescent="0.2">
      <c r="A40" s="86" t="s">
        <v>217</v>
      </c>
      <c r="B40">
        <v>1074910.6755549901</v>
      </c>
      <c r="C40">
        <f>SUM(C33:C39)</f>
        <v>1.0000000000000004</v>
      </c>
    </row>
    <row r="42" spans="1:24" x14ac:dyDescent="0.2">
      <c r="B42" s="113" t="s">
        <v>276</v>
      </c>
      <c r="C42" s="113" t="s">
        <v>278</v>
      </c>
      <c r="D42" s="113" t="s">
        <v>277</v>
      </c>
    </row>
    <row r="43" spans="1:24" x14ac:dyDescent="0.2">
      <c r="A43" s="113" t="s">
        <v>271</v>
      </c>
      <c r="B43">
        <v>28.46</v>
      </c>
      <c r="C43">
        <v>3.4470000000000001</v>
      </c>
      <c r="D43">
        <v>257.3</v>
      </c>
    </row>
    <row r="44" spans="1:24" x14ac:dyDescent="0.2">
      <c r="A44" s="86" t="s">
        <v>272</v>
      </c>
      <c r="B44" s="64">
        <v>2870</v>
      </c>
      <c r="C44">
        <v>10.34</v>
      </c>
      <c r="D44">
        <v>166.7</v>
      </c>
    </row>
    <row r="46" spans="1:24" x14ac:dyDescent="0.2">
      <c r="A46" s="113" t="s">
        <v>279</v>
      </c>
      <c r="B46">
        <v>6.5830000000000002</v>
      </c>
    </row>
    <row r="47" spans="1:24" x14ac:dyDescent="0.2">
      <c r="A47" s="113" t="s">
        <v>273</v>
      </c>
      <c r="B47">
        <v>14.731</v>
      </c>
    </row>
    <row r="48" spans="1:24" x14ac:dyDescent="0.2">
      <c r="A48" s="113" t="s">
        <v>274</v>
      </c>
      <c r="B48">
        <v>15.032</v>
      </c>
    </row>
    <row r="49" spans="1:4" x14ac:dyDescent="0.2">
      <c r="A49" s="113" t="s">
        <v>275</v>
      </c>
      <c r="B49">
        <v>0.71499999999999997</v>
      </c>
    </row>
    <row r="50" spans="1:4" x14ac:dyDescent="0.2">
      <c r="B50">
        <f>B48*B49</f>
        <v>10.74788</v>
      </c>
    </row>
    <row r="53" spans="1:4" x14ac:dyDescent="0.2">
      <c r="A53" s="132" t="s">
        <v>280</v>
      </c>
      <c r="B53" s="132"/>
      <c r="C53" s="132"/>
      <c r="D53" s="132"/>
    </row>
    <row r="54" spans="1:4" x14ac:dyDescent="0.2">
      <c r="A54" s="113" t="s">
        <v>282</v>
      </c>
      <c r="B54">
        <f>H9</f>
        <v>0.99970876636667905</v>
      </c>
      <c r="C54" s="113" t="s">
        <v>297</v>
      </c>
      <c r="D54">
        <f>LOG((B58/B60)*(B61/B59))</f>
        <v>7.0454968747772586</v>
      </c>
    </row>
    <row r="55" spans="1:4" x14ac:dyDescent="0.2">
      <c r="A55" s="113" t="s">
        <v>283</v>
      </c>
      <c r="B55" s="64">
        <f>H10</f>
        <v>1.7285997817826501E-4</v>
      </c>
      <c r="C55" s="113" t="s">
        <v>298</v>
      </c>
      <c r="D55">
        <f>LOG(B68)</f>
        <v>0.43888836376769974</v>
      </c>
    </row>
    <row r="56" spans="1:4" x14ac:dyDescent="0.2">
      <c r="A56" s="113" t="s">
        <v>284</v>
      </c>
      <c r="B56" s="64">
        <f>I9</f>
        <v>4.0022261513141403E-3</v>
      </c>
      <c r="C56" s="38" t="s">
        <v>299</v>
      </c>
      <c r="D56" s="38">
        <f>D54/D55</f>
        <v>16.053050061054673</v>
      </c>
    </row>
    <row r="57" spans="1:4" x14ac:dyDescent="0.2">
      <c r="A57" s="113" t="s">
        <v>285</v>
      </c>
      <c r="B57">
        <f>I10</f>
        <v>0.99599777384702803</v>
      </c>
    </row>
    <row r="58" spans="1:4" x14ac:dyDescent="0.2">
      <c r="A58" s="113" t="s">
        <v>286</v>
      </c>
      <c r="B58">
        <f>F9</f>
        <v>179491.89196155351</v>
      </c>
    </row>
    <row r="59" spans="1:4" x14ac:dyDescent="0.2">
      <c r="A59" s="113" t="s">
        <v>287</v>
      </c>
      <c r="B59">
        <f>F10</f>
        <v>29.924292614710048</v>
      </c>
    </row>
    <row r="60" spans="1:4" x14ac:dyDescent="0.2">
      <c r="A60" s="113" t="s">
        <v>288</v>
      </c>
      <c r="B60">
        <f>G9</f>
        <v>53.863726706472065</v>
      </c>
    </row>
    <row r="61" spans="1:4" x14ac:dyDescent="0.2">
      <c r="A61" s="113" t="s">
        <v>289</v>
      </c>
      <c r="B61">
        <f>G10</f>
        <v>99717.717756418788</v>
      </c>
    </row>
    <row r="62" spans="1:4" x14ac:dyDescent="0.2">
      <c r="A62" s="113" t="s">
        <v>293</v>
      </c>
      <c r="B62" s="64">
        <v>0.58550000000000002</v>
      </c>
    </row>
    <row r="63" spans="1:4" x14ac:dyDescent="0.2">
      <c r="A63" s="113" t="s">
        <v>294</v>
      </c>
      <c r="B63" s="64">
        <v>0.37659999999999999</v>
      </c>
    </row>
    <row r="64" spans="1:4" x14ac:dyDescent="0.2">
      <c r="A64" s="113" t="s">
        <v>295</v>
      </c>
      <c r="B64" s="64">
        <f>4.799</f>
        <v>4.7990000000000004</v>
      </c>
    </row>
    <row r="65" spans="1:7" x14ac:dyDescent="0.2">
      <c r="A65" s="113" t="s">
        <v>296</v>
      </c>
      <c r="B65" s="64">
        <f>0.9886</f>
        <v>0.98860000000000003</v>
      </c>
    </row>
    <row r="66" spans="1:7" x14ac:dyDescent="0.2">
      <c r="A66" s="113" t="s">
        <v>290</v>
      </c>
      <c r="B66" s="64">
        <f>B62/B63</f>
        <v>1.5546999468932556</v>
      </c>
    </row>
    <row r="67" spans="1:7" x14ac:dyDescent="0.2">
      <c r="A67" s="113" t="s">
        <v>291</v>
      </c>
      <c r="B67" s="64">
        <f>B64/B65</f>
        <v>4.854339469957516</v>
      </c>
    </row>
    <row r="68" spans="1:7" x14ac:dyDescent="0.2">
      <c r="A68" s="113" t="s">
        <v>292</v>
      </c>
      <c r="B68">
        <f>(B66*B67)^0.5</f>
        <v>2.747187892399205</v>
      </c>
    </row>
    <row r="71" spans="1:7" x14ac:dyDescent="0.2">
      <c r="A71" s="132" t="s">
        <v>300</v>
      </c>
      <c r="B71" s="132"/>
      <c r="C71" s="132"/>
      <c r="D71" s="132"/>
      <c r="E71" s="114"/>
      <c r="F71" s="114"/>
      <c r="G71" s="114"/>
    </row>
    <row r="72" spans="1:7" x14ac:dyDescent="0.2">
      <c r="A72" s="114"/>
      <c r="B72" s="113" t="s">
        <v>302</v>
      </c>
      <c r="C72" s="113" t="s">
        <v>301</v>
      </c>
      <c r="D72" s="113" t="s">
        <v>303</v>
      </c>
      <c r="E72" s="113" t="s">
        <v>304</v>
      </c>
      <c r="F72" s="113" t="s">
        <v>281</v>
      </c>
      <c r="G72" s="113" t="s">
        <v>305</v>
      </c>
    </row>
    <row r="73" spans="1:7" x14ac:dyDescent="0.2">
      <c r="A73" s="86" t="s">
        <v>119</v>
      </c>
      <c r="B73" s="64">
        <f>H11</f>
        <v>8.7840073070006506E-5</v>
      </c>
      <c r="C73" s="64">
        <f>I9</f>
        <v>4.0022261513141403E-3</v>
      </c>
      <c r="D73" s="115">
        <v>50.58</v>
      </c>
      <c r="E73">
        <v>0</v>
      </c>
      <c r="F73">
        <v>0</v>
      </c>
      <c r="G73" t="s">
        <v>306</v>
      </c>
    </row>
    <row r="74" spans="1:7" x14ac:dyDescent="0.2">
      <c r="A74" s="86" t="s">
        <v>146</v>
      </c>
      <c r="B74" s="64">
        <f>H12</f>
        <v>3.73554828683742E-10</v>
      </c>
      <c r="C74" s="64">
        <f>I10</f>
        <v>0.99599777384702803</v>
      </c>
      <c r="D74" s="115">
        <v>43.63</v>
      </c>
      <c r="E74">
        <v>0</v>
      </c>
      <c r="F74">
        <v>0</v>
      </c>
    </row>
    <row r="75" spans="1:7" x14ac:dyDescent="0.2">
      <c r="A75" s="86" t="s">
        <v>126</v>
      </c>
      <c r="B75" s="64">
        <f>H13</f>
        <v>1.8558548854355101E-6</v>
      </c>
      <c r="C75" s="64">
        <f>I11</f>
        <v>1.9957634800052599E-13</v>
      </c>
      <c r="D75" s="114">
        <v>813.6</v>
      </c>
      <c r="E75">
        <v>0</v>
      </c>
      <c r="F75">
        <v>0</v>
      </c>
    </row>
    <row r="76" spans="1:7" x14ac:dyDescent="0.2">
      <c r="A76" s="86" t="s">
        <v>210</v>
      </c>
      <c r="B76" s="64">
        <f>H14</f>
        <v>2.86773536327406E-5</v>
      </c>
      <c r="C76" s="64">
        <f>I12</f>
        <v>3.5471265398078699E-18</v>
      </c>
      <c r="D76" s="115">
        <v>80.540000000000006</v>
      </c>
      <c r="E76">
        <v>0</v>
      </c>
      <c r="F76">
        <v>0</v>
      </c>
    </row>
    <row r="80" spans="1:7" x14ac:dyDescent="0.2">
      <c r="A80" t="s">
        <v>308</v>
      </c>
      <c r="B80" t="s">
        <v>309</v>
      </c>
    </row>
    <row r="81" spans="1:4" x14ac:dyDescent="0.2">
      <c r="A81" s="132" t="s">
        <v>307</v>
      </c>
      <c r="B81" s="132"/>
      <c r="C81" s="132"/>
      <c r="D81" s="132"/>
    </row>
    <row r="82" spans="1:4" x14ac:dyDescent="0.2">
      <c r="A82" s="113" t="s">
        <v>310</v>
      </c>
      <c r="B82">
        <v>2</v>
      </c>
    </row>
    <row r="83" spans="1:4" x14ac:dyDescent="0.2">
      <c r="A83" s="113" t="s">
        <v>311</v>
      </c>
      <c r="B83" s="64">
        <f>B62/B64</f>
        <v>0.12200458428839341</v>
      </c>
    </row>
    <row r="84" spans="1:4" x14ac:dyDescent="0.2">
      <c r="A84" s="113" t="s">
        <v>312</v>
      </c>
      <c r="B84" s="64">
        <f>B65/B63</f>
        <v>2.625066383430696</v>
      </c>
    </row>
    <row r="85" spans="1:4" x14ac:dyDescent="0.2">
      <c r="A85" s="113" t="s">
        <v>313</v>
      </c>
      <c r="B85">
        <v>0.64470000000000005</v>
      </c>
    </row>
    <row r="86" spans="1:4" x14ac:dyDescent="0.2">
      <c r="A86" s="113" t="s">
        <v>314</v>
      </c>
      <c r="B86">
        <v>0.35249999999999998</v>
      </c>
    </row>
    <row r="87" spans="1:4" x14ac:dyDescent="0.2">
      <c r="A87" s="113" t="s">
        <v>315</v>
      </c>
      <c r="B87">
        <v>200</v>
      </c>
    </row>
    <row r="88" spans="1:4" x14ac:dyDescent="0.2">
      <c r="A88" s="113" t="s">
        <v>316</v>
      </c>
      <c r="B88" s="64">
        <f>(B85*B83)/(B83-B89)+(B84*B86)/(B84-B89)+B87-1</f>
        <v>6.9999996467029177</v>
      </c>
    </row>
    <row r="89" spans="1:4" x14ac:dyDescent="0.2">
      <c r="A89" s="38" t="s">
        <v>317</v>
      </c>
      <c r="B89" s="116">
        <v>0.12241346540726221</v>
      </c>
    </row>
    <row r="90" spans="1:4" x14ac:dyDescent="0.2">
      <c r="A90" s="113"/>
      <c r="B90" s="64"/>
    </row>
    <row r="91" spans="1:4" x14ac:dyDescent="0.2">
      <c r="A91" s="113" t="s">
        <v>318</v>
      </c>
      <c r="B91">
        <f>H9</f>
        <v>0.99970876636667905</v>
      </c>
    </row>
    <row r="92" spans="1:4" x14ac:dyDescent="0.2">
      <c r="A92" s="113" t="s">
        <v>319</v>
      </c>
      <c r="B92" s="64">
        <f>H10</f>
        <v>1.7285997817826501E-4</v>
      </c>
    </row>
    <row r="93" spans="1:4" x14ac:dyDescent="0.2">
      <c r="A93" s="38" t="s">
        <v>320</v>
      </c>
      <c r="B93" s="38">
        <f>-((B83*B91/B83-B89)+(B84*B92/B89-B84)-1)</f>
        <v>2.7440642278679341</v>
      </c>
    </row>
    <row r="94" spans="1:4" x14ac:dyDescent="0.2">
      <c r="A94" s="38" t="s">
        <v>321</v>
      </c>
      <c r="B94" s="38">
        <f>B93*1.5</f>
        <v>4.1160963418019012</v>
      </c>
    </row>
    <row r="97" spans="1:8" x14ac:dyDescent="0.2">
      <c r="A97" s="132" t="s">
        <v>322</v>
      </c>
      <c r="B97" s="132"/>
      <c r="C97" s="132"/>
    </row>
    <row r="98" spans="1:8" x14ac:dyDescent="0.2">
      <c r="A98" t="s">
        <v>323</v>
      </c>
      <c r="B98">
        <f>0.75*(1-(B94-B93/B94+1)^0.566)</f>
        <v>-0.99582827838453891</v>
      </c>
    </row>
    <row r="99" spans="1:8" x14ac:dyDescent="0.2">
      <c r="A99" t="s">
        <v>123</v>
      </c>
      <c r="B99">
        <v>23</v>
      </c>
    </row>
    <row r="101" spans="1:8" x14ac:dyDescent="0.2">
      <c r="A101" s="132" t="s">
        <v>324</v>
      </c>
      <c r="B101" s="132"/>
      <c r="C101" s="132"/>
    </row>
    <row r="108" spans="1:8" x14ac:dyDescent="0.2">
      <c r="A108" s="132" t="s">
        <v>325</v>
      </c>
      <c r="B108" s="132"/>
      <c r="C108" s="132"/>
      <c r="F108" s="100" t="s">
        <v>365</v>
      </c>
      <c r="G108">
        <f>(4*B127/(G110*G109*3.14*(1-G124)*B128))^0.5</f>
        <v>4.3689030904068664</v>
      </c>
      <c r="H108" t="s">
        <v>227</v>
      </c>
    </row>
    <row r="109" spans="1:8" x14ac:dyDescent="0.2">
      <c r="A109" t="s">
        <v>326</v>
      </c>
      <c r="F109" s="100" t="s">
        <v>366</v>
      </c>
      <c r="G109">
        <v>0.8</v>
      </c>
    </row>
    <row r="110" spans="1:8" x14ac:dyDescent="0.2">
      <c r="A110" t="s">
        <v>327</v>
      </c>
      <c r="F110" s="100" t="s">
        <v>367</v>
      </c>
      <c r="G110">
        <f>G114*(G115-G113/G113)^0.5</f>
        <v>4.0913327032502167</v>
      </c>
    </row>
    <row r="111" spans="1:8" x14ac:dyDescent="0.2">
      <c r="A111" t="s">
        <v>328</v>
      </c>
      <c r="F111" s="100" t="s">
        <v>368</v>
      </c>
    </row>
    <row r="112" spans="1:8" x14ac:dyDescent="0.2">
      <c r="A112" t="s">
        <v>329</v>
      </c>
      <c r="F112" s="100" t="s">
        <v>369</v>
      </c>
    </row>
    <row r="113" spans="1:18" x14ac:dyDescent="0.2">
      <c r="A113" t="s">
        <v>330</v>
      </c>
      <c r="F113" s="100" t="s">
        <v>370</v>
      </c>
      <c r="G113">
        <f>B128</f>
        <v>781.2</v>
      </c>
    </row>
    <row r="114" spans="1:18" x14ac:dyDescent="0.2">
      <c r="A114" t="s">
        <v>331</v>
      </c>
      <c r="F114" s="100" t="s">
        <v>371</v>
      </c>
      <c r="G114">
        <f>G116*G117*G118*G119</f>
        <v>0.13246873008307092</v>
      </c>
      <c r="Q114" t="s">
        <v>327</v>
      </c>
      <c r="R114" t="s">
        <v>328</v>
      </c>
    </row>
    <row r="115" spans="1:18" x14ac:dyDescent="0.2">
      <c r="A115" t="s">
        <v>333</v>
      </c>
      <c r="B115">
        <v>2341775018.3552799</v>
      </c>
      <c r="F115" s="100" t="s">
        <v>372</v>
      </c>
      <c r="G115">
        <f>B129</f>
        <v>954.9</v>
      </c>
      <c r="Q115">
        <v>6766911.8139385302</v>
      </c>
      <c r="R115">
        <v>7451.5836883998099</v>
      </c>
    </row>
    <row r="116" spans="1:18" x14ac:dyDescent="0.2">
      <c r="A116" t="s">
        <v>332</v>
      </c>
      <c r="B116">
        <v>0</v>
      </c>
      <c r="C116" t="s">
        <v>334</v>
      </c>
      <c r="F116" s="100" t="s">
        <v>373</v>
      </c>
      <c r="G116">
        <v>0.25900000000000001</v>
      </c>
      <c r="H116" t="s">
        <v>379</v>
      </c>
      <c r="Q116">
        <v>6925532.6918273102</v>
      </c>
      <c r="R116">
        <v>7892569.7832464902</v>
      </c>
    </row>
    <row r="117" spans="1:18" x14ac:dyDescent="0.2">
      <c r="A117" t="s">
        <v>335</v>
      </c>
      <c r="B117">
        <v>738063054.47388601</v>
      </c>
      <c r="F117" s="100" t="s">
        <v>374</v>
      </c>
      <c r="G117">
        <f>(G121/20)^0.2</f>
        <v>0.51146227831301516</v>
      </c>
      <c r="Q117">
        <v>6940741.2114623999</v>
      </c>
      <c r="R117">
        <v>8051190.6611352703</v>
      </c>
    </row>
    <row r="118" spans="1:18" x14ac:dyDescent="0.2">
      <c r="A118" t="s">
        <v>336</v>
      </c>
      <c r="B118">
        <v>0</v>
      </c>
      <c r="F118" s="100" t="s">
        <v>375</v>
      </c>
      <c r="G118">
        <v>1</v>
      </c>
      <c r="Q118">
        <v>6954332.8384864703</v>
      </c>
      <c r="R118">
        <v>8066399.1807703599</v>
      </c>
    </row>
    <row r="119" spans="1:18" x14ac:dyDescent="0.2">
      <c r="F119" s="100" t="s">
        <v>376</v>
      </c>
      <c r="G119">
        <v>1</v>
      </c>
      <c r="Q119">
        <v>6965364.9321869304</v>
      </c>
      <c r="R119">
        <v>8079990.8077944303</v>
      </c>
    </row>
    <row r="120" spans="1:18" x14ac:dyDescent="0.2">
      <c r="A120" t="s">
        <v>337</v>
      </c>
      <c r="B120">
        <f>EXP(A121-A122*LN(B125)-A123*LN(B125)^2-A124*LN(B125)^3)</f>
        <v>3.1479618334455561E-2</v>
      </c>
      <c r="F120" s="100" t="s">
        <v>377</v>
      </c>
      <c r="G120">
        <v>24</v>
      </c>
      <c r="H120" t="s">
        <v>378</v>
      </c>
      <c r="Q120">
        <v>6971726.6563594798</v>
      </c>
      <c r="R120">
        <v>8091022.9014948802</v>
      </c>
    </row>
    <row r="121" spans="1:18" x14ac:dyDescent="0.2">
      <c r="A121">
        <v>-3.7121</v>
      </c>
      <c r="F121" s="100" t="s">
        <v>380</v>
      </c>
      <c r="G121" s="64">
        <v>0.7</v>
      </c>
      <c r="H121" t="s">
        <v>386</v>
      </c>
      <c r="Q121">
        <v>6968855.7854526201</v>
      </c>
      <c r="R121">
        <v>8097384.6256674305</v>
      </c>
    </row>
    <row r="122" spans="1:18" x14ac:dyDescent="0.2">
      <c r="A122">
        <v>1.0370999999999999</v>
      </c>
      <c r="F122" s="100" t="s">
        <v>381</v>
      </c>
      <c r="G122">
        <v>0.2</v>
      </c>
      <c r="Q122">
        <v>6946968.1733132498</v>
      </c>
      <c r="R122">
        <v>8094513.7547605801</v>
      </c>
    </row>
    <row r="123" spans="1:18" x14ac:dyDescent="0.2">
      <c r="A123">
        <v>0.15010000000000001</v>
      </c>
      <c r="F123" s="100" t="s">
        <v>382</v>
      </c>
      <c r="G123">
        <f>G124/G122</f>
        <v>0.87546411938748958</v>
      </c>
      <c r="Q123">
        <v>6884898.9665630898</v>
      </c>
      <c r="R123">
        <v>8072626.1426212098</v>
      </c>
    </row>
    <row r="124" spans="1:18" x14ac:dyDescent="0.2">
      <c r="A124">
        <v>7.5440000000000004E-3</v>
      </c>
      <c r="F124" s="100" t="s">
        <v>383</v>
      </c>
      <c r="G124">
        <f>0.1+(B125-0.1)/9</f>
        <v>0.17509282387749792</v>
      </c>
      <c r="Q124">
        <v>6735723.8890316496</v>
      </c>
      <c r="R124">
        <v>8010556.9358710404</v>
      </c>
    </row>
    <row r="125" spans="1:18" x14ac:dyDescent="0.2">
      <c r="A125" s="23" t="s">
        <v>338</v>
      </c>
      <c r="B125" s="23">
        <f>(B126/B127)*(B128/B129)^0.5</f>
        <v>0.77583541489748109</v>
      </c>
      <c r="F125" s="100" t="s">
        <v>384</v>
      </c>
      <c r="Q125">
        <v>6391293.3667450603</v>
      </c>
      <c r="R125">
        <v>7861381.8583396003</v>
      </c>
    </row>
    <row r="126" spans="1:18" x14ac:dyDescent="0.2">
      <c r="A126" t="s">
        <v>327</v>
      </c>
      <c r="B126">
        <f>Q132/3600</f>
        <v>27108.407770154019</v>
      </c>
      <c r="C126" t="s">
        <v>352</v>
      </c>
      <c r="F126" s="100" t="s">
        <v>385</v>
      </c>
      <c r="Q126">
        <v>5617046.3000292499</v>
      </c>
      <c r="R126">
        <v>7516951.3360530203</v>
      </c>
    </row>
    <row r="127" spans="1:18" x14ac:dyDescent="0.2">
      <c r="A127" t="s">
        <v>328</v>
      </c>
      <c r="B127">
        <f>R132/3600</f>
        <v>31603.601736813838</v>
      </c>
      <c r="C127" t="s">
        <v>352</v>
      </c>
      <c r="F127" s="100" t="s">
        <v>387</v>
      </c>
      <c r="G127">
        <v>0.5</v>
      </c>
      <c r="Q127">
        <v>4372931.9195315298</v>
      </c>
      <c r="R127">
        <v>6742704.2693372099</v>
      </c>
    </row>
    <row r="128" spans="1:18" x14ac:dyDescent="0.2">
      <c r="A128" t="s">
        <v>339</v>
      </c>
      <c r="B128">
        <v>781.2</v>
      </c>
      <c r="C128" t="s">
        <v>350</v>
      </c>
      <c r="F128" s="100" t="s">
        <v>388</v>
      </c>
      <c r="G128">
        <v>0.8</v>
      </c>
      <c r="Q128">
        <v>3706563.6486145202</v>
      </c>
      <c r="R128">
        <v>5498589.8888394795</v>
      </c>
    </row>
    <row r="129" spans="1:18" x14ac:dyDescent="0.2">
      <c r="A129" t="s">
        <v>340</v>
      </c>
      <c r="B129">
        <v>954.9</v>
      </c>
      <c r="C129" t="s">
        <v>350</v>
      </c>
      <c r="F129" s="100" t="s">
        <v>210</v>
      </c>
      <c r="G129">
        <f>(B99/0.8)*24+4+10</f>
        <v>704</v>
      </c>
      <c r="Q129">
        <v>3574342.95431979</v>
      </c>
      <c r="R129">
        <v>4832221.61792247</v>
      </c>
    </row>
    <row r="130" spans="1:18" x14ac:dyDescent="0.2">
      <c r="F130" s="100"/>
      <c r="Q130">
        <v>4512221.4030264197</v>
      </c>
      <c r="R130">
        <v>4700000.9236277398</v>
      </c>
    </row>
    <row r="131" spans="1:18" x14ac:dyDescent="0.2">
      <c r="A131" s="23" t="s">
        <v>342</v>
      </c>
      <c r="B131" s="23">
        <f>((B120*B132*(D136/B128))/(B133*D134*D135))^0.5</f>
        <v>7.0083140588210275</v>
      </c>
      <c r="C131">
        <f>B131/3.281</f>
        <v>2.1360298868701699</v>
      </c>
      <c r="D131" t="s">
        <v>357</v>
      </c>
      <c r="F131" s="100"/>
      <c r="Q131">
        <v>354811.421666182</v>
      </c>
      <c r="R131">
        <v>4157409.9813602301</v>
      </c>
    </row>
    <row r="132" spans="1:18" x14ac:dyDescent="0.2">
      <c r="A132" t="s">
        <v>161</v>
      </c>
      <c r="B132">
        <v>32.200000000000003</v>
      </c>
      <c r="C132" t="s">
        <v>347</v>
      </c>
      <c r="F132" s="100"/>
      <c r="Q132">
        <f>SUM(Q115:Q131)</f>
        <v>97590267.972554475</v>
      </c>
      <c r="R132">
        <f>SUM(R115:R131)</f>
        <v>113772966.25252981</v>
      </c>
    </row>
    <row r="133" spans="1:18" x14ac:dyDescent="0.2">
      <c r="A133" t="s">
        <v>343</v>
      </c>
      <c r="B133">
        <v>38</v>
      </c>
      <c r="C133" t="s">
        <v>353</v>
      </c>
      <c r="F133" s="100"/>
    </row>
    <row r="134" spans="1:18" x14ac:dyDescent="0.2">
      <c r="A134" t="s">
        <v>344</v>
      </c>
      <c r="B134">
        <f>-0.878+2.6776*(B136/B129)-0.6313*(B136/B129)^2</f>
        <v>1.1831958629400106</v>
      </c>
      <c r="C134" t="s">
        <v>350</v>
      </c>
      <c r="D134">
        <f>B134/16.018</f>
        <v>7.3866641462105781E-2</v>
      </c>
      <c r="E134" t="s">
        <v>356</v>
      </c>
      <c r="F134" s="100"/>
    </row>
    <row r="135" spans="1:18" x14ac:dyDescent="0.2">
      <c r="A135" t="s">
        <v>346</v>
      </c>
      <c r="B135">
        <f>0.96*(B137^0.19)</f>
        <v>0.84496535375681769</v>
      </c>
      <c r="C135" t="s">
        <v>354</v>
      </c>
      <c r="D135">
        <f>0.000567</f>
        <v>5.6700000000000001E-4</v>
      </c>
      <c r="E135" t="s">
        <v>355</v>
      </c>
      <c r="F135" s="100"/>
    </row>
    <row r="136" spans="1:18" x14ac:dyDescent="0.2">
      <c r="A136" t="s">
        <v>345</v>
      </c>
      <c r="B136">
        <v>965</v>
      </c>
      <c r="C136" t="s">
        <v>350</v>
      </c>
      <c r="D136">
        <f>B136/16.018</f>
        <v>60.244724684729675</v>
      </c>
      <c r="F136" s="100"/>
    </row>
    <row r="137" spans="1:18" x14ac:dyDescent="0.2">
      <c r="A137" t="s">
        <v>351</v>
      </c>
      <c r="B137">
        <v>0.51080000000000003</v>
      </c>
      <c r="C137" t="s">
        <v>354</v>
      </c>
      <c r="F137" s="100"/>
    </row>
    <row r="138" spans="1:18" x14ac:dyDescent="0.2">
      <c r="A138" s="31" t="s">
        <v>341</v>
      </c>
      <c r="B138" s="31">
        <f>((4*B127)/((B139*C131)*A140*B128))^0.5</f>
        <v>5.8708321243382677</v>
      </c>
      <c r="C138" t="s">
        <v>227</v>
      </c>
      <c r="F138" s="100"/>
      <c r="L138">
        <f>28.46+69</f>
        <v>97.460000000000008</v>
      </c>
    </row>
    <row r="139" spans="1:18" x14ac:dyDescent="0.2">
      <c r="A139" t="s">
        <v>348</v>
      </c>
      <c r="B139">
        <v>0.7</v>
      </c>
      <c r="F139" s="100"/>
      <c r="H139" t="s">
        <v>349</v>
      </c>
      <c r="I139">
        <v>4.0999999999999996</v>
      </c>
      <c r="J139" t="s">
        <v>240</v>
      </c>
      <c r="L139">
        <v>38</v>
      </c>
    </row>
    <row r="140" spans="1:18" x14ac:dyDescent="0.2">
      <c r="A140">
        <v>3.14</v>
      </c>
      <c r="F140" s="100"/>
    </row>
    <row r="141" spans="1:18" x14ac:dyDescent="0.2">
      <c r="A141" s="132" t="s">
        <v>358</v>
      </c>
      <c r="B141" s="132"/>
      <c r="C141" s="132"/>
    </row>
    <row r="142" spans="1:18" x14ac:dyDescent="0.2">
      <c r="A142" s="23" t="s">
        <v>359</v>
      </c>
      <c r="B142" s="23">
        <f>(100/B144)+0.333</f>
        <v>0.51221146953405017</v>
      </c>
      <c r="O142">
        <v>38</v>
      </c>
    </row>
    <row r="143" spans="1:18" x14ac:dyDescent="0.2">
      <c r="A143" t="s">
        <v>360</v>
      </c>
      <c r="B143">
        <v>2</v>
      </c>
      <c r="C143" t="s">
        <v>361</v>
      </c>
    </row>
    <row r="144" spans="1:18" x14ac:dyDescent="0.2">
      <c r="A144" s="23" t="s">
        <v>363</v>
      </c>
      <c r="B144" s="23">
        <v>558</v>
      </c>
      <c r="C144" t="s">
        <v>364</v>
      </c>
    </row>
    <row r="145" spans="1:3" x14ac:dyDescent="0.2">
      <c r="A145" s="23" t="s">
        <v>362</v>
      </c>
      <c r="B145" s="31">
        <f>15*B142</f>
        <v>7.6831720430107522</v>
      </c>
      <c r="C145" t="s">
        <v>227</v>
      </c>
    </row>
  </sheetData>
  <mergeCells count="7">
    <mergeCell ref="A141:C141"/>
    <mergeCell ref="A108:C108"/>
    <mergeCell ref="A53:D53"/>
    <mergeCell ref="A71:D71"/>
    <mergeCell ref="A81:D81"/>
    <mergeCell ref="A97:C97"/>
    <mergeCell ref="A101:C101"/>
  </mergeCells>
  <pageMargins left="0.7" right="0.7" top="0.75" bottom="0.75" header="0.3" footer="0.3"/>
  <pageSetup scale="22" orientation="landscape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4105B-6CA7-AE48-9FEE-D15F0F94833A}">
  <sheetPr>
    <pageSetUpPr fitToPage="1"/>
  </sheetPr>
  <dimension ref="A2:AF93"/>
  <sheetViews>
    <sheetView zoomScale="64" zoomScaleNormal="100" workbookViewId="0">
      <selection activeCell="G29" sqref="G29"/>
    </sheetView>
  </sheetViews>
  <sheetFormatPr baseColWidth="10" defaultRowHeight="16" x14ac:dyDescent="0.2"/>
  <cols>
    <col min="1" max="1" width="20.5" customWidth="1"/>
    <col min="12" max="12" width="24.6640625" customWidth="1"/>
    <col min="13" max="13" width="16.33203125" customWidth="1"/>
    <col min="14" max="14" width="10.83203125" customWidth="1"/>
    <col min="28" max="28" width="27.5" customWidth="1"/>
  </cols>
  <sheetData>
    <row r="2" spans="1:32" x14ac:dyDescent="0.2">
      <c r="M2">
        <v>2</v>
      </c>
      <c r="N2" t="s">
        <v>266</v>
      </c>
    </row>
    <row r="4" spans="1:32" x14ac:dyDescent="0.2">
      <c r="A4" s="23"/>
      <c r="M4" s="92" t="s">
        <v>251</v>
      </c>
      <c r="N4" s="93">
        <v>14</v>
      </c>
      <c r="O4" t="s">
        <v>240</v>
      </c>
      <c r="AB4">
        <v>2</v>
      </c>
      <c r="AC4" t="s">
        <v>266</v>
      </c>
      <c r="AE4" s="107" t="s">
        <v>267</v>
      </c>
    </row>
    <row r="5" spans="1:32" x14ac:dyDescent="0.2">
      <c r="A5" s="23"/>
      <c r="M5" s="90" t="s">
        <v>252</v>
      </c>
      <c r="N5" s="5">
        <v>522</v>
      </c>
      <c r="O5" t="s">
        <v>240</v>
      </c>
    </row>
    <row r="6" spans="1:32" x14ac:dyDescent="0.2">
      <c r="A6" s="23"/>
      <c r="B6" s="64"/>
      <c r="D6" s="23"/>
      <c r="E6" s="23"/>
      <c r="M6" s="90" t="s">
        <v>221</v>
      </c>
      <c r="N6" s="94"/>
      <c r="O6" t="s">
        <v>225</v>
      </c>
      <c r="P6" s="23"/>
      <c r="Q6" s="23"/>
      <c r="AB6" s="92" t="s">
        <v>251</v>
      </c>
      <c r="AC6" s="93">
        <v>14</v>
      </c>
      <c r="AD6" t="s">
        <v>240</v>
      </c>
    </row>
    <row r="7" spans="1:32" x14ac:dyDescent="0.2">
      <c r="A7" s="23"/>
      <c r="M7" s="90" t="s">
        <v>222</v>
      </c>
      <c r="N7" s="5">
        <v>25</v>
      </c>
      <c r="O7" t="s">
        <v>226</v>
      </c>
      <c r="AB7" s="90" t="s">
        <v>268</v>
      </c>
      <c r="AC7" s="5">
        <v>522</v>
      </c>
      <c r="AD7" t="s">
        <v>240</v>
      </c>
    </row>
    <row r="8" spans="1:32" x14ac:dyDescent="0.2">
      <c r="A8" s="23"/>
      <c r="M8" s="90" t="s">
        <v>223</v>
      </c>
      <c r="N8" s="5">
        <v>25</v>
      </c>
      <c r="O8" t="s">
        <v>227</v>
      </c>
      <c r="P8" t="s">
        <v>228</v>
      </c>
      <c r="AB8" s="90" t="s">
        <v>221</v>
      </c>
      <c r="AC8" s="94"/>
      <c r="AD8" t="s">
        <v>225</v>
      </c>
      <c r="AE8" s="23"/>
      <c r="AF8" s="23"/>
    </row>
    <row r="9" spans="1:32" x14ac:dyDescent="0.2">
      <c r="A9" s="23"/>
      <c r="M9" s="90" t="s">
        <v>224</v>
      </c>
      <c r="N9" s="5">
        <v>5</v>
      </c>
      <c r="O9" t="s">
        <v>227</v>
      </c>
      <c r="P9" t="s">
        <v>228</v>
      </c>
      <c r="AB9" s="90" t="s">
        <v>222</v>
      </c>
      <c r="AC9" s="5">
        <v>25</v>
      </c>
      <c r="AD9" t="s">
        <v>226</v>
      </c>
    </row>
    <row r="10" spans="1:32" x14ac:dyDescent="0.2">
      <c r="A10" s="23"/>
      <c r="M10" s="90" t="s">
        <v>230</v>
      </c>
      <c r="N10" s="5"/>
      <c r="O10" t="s">
        <v>231</v>
      </c>
      <c r="AB10" s="90" t="s">
        <v>223</v>
      </c>
      <c r="AC10" s="5">
        <v>25</v>
      </c>
      <c r="AD10" t="s">
        <v>227</v>
      </c>
      <c r="AE10" t="s">
        <v>228</v>
      </c>
    </row>
    <row r="11" spans="1:32" x14ac:dyDescent="0.2">
      <c r="A11" s="23"/>
      <c r="M11" s="90" t="s">
        <v>229</v>
      </c>
      <c r="N11" s="5"/>
      <c r="O11" t="s">
        <v>231</v>
      </c>
      <c r="AB11" s="90" t="s">
        <v>224</v>
      </c>
      <c r="AC11" s="5">
        <v>5</v>
      </c>
      <c r="AD11" t="s">
        <v>227</v>
      </c>
      <c r="AE11" t="s">
        <v>228</v>
      </c>
    </row>
    <row r="12" spans="1:32" x14ac:dyDescent="0.2">
      <c r="A12" s="23"/>
      <c r="M12" s="91" t="s">
        <v>242</v>
      </c>
      <c r="N12" s="7"/>
      <c r="O12" t="s">
        <v>231</v>
      </c>
      <c r="AB12" s="90" t="s">
        <v>230</v>
      </c>
      <c r="AC12" s="5"/>
      <c r="AD12" t="s">
        <v>231</v>
      </c>
    </row>
    <row r="13" spans="1:32" x14ac:dyDescent="0.2">
      <c r="A13" s="23"/>
      <c r="M13" s="23"/>
      <c r="AB13" s="90" t="s">
        <v>229</v>
      </c>
      <c r="AC13" s="5"/>
      <c r="AD13" t="s">
        <v>231</v>
      </c>
    </row>
    <row r="14" spans="1:32" x14ac:dyDescent="0.2">
      <c r="A14" s="23"/>
      <c r="B14" s="64"/>
      <c r="M14" s="23"/>
      <c r="N14" s="64"/>
      <c r="AB14" s="91" t="s">
        <v>242</v>
      </c>
      <c r="AC14" s="7"/>
      <c r="AD14" t="s">
        <v>231</v>
      </c>
    </row>
    <row r="15" spans="1:32" x14ac:dyDescent="0.2">
      <c r="A15" s="23"/>
      <c r="M15" s="23"/>
      <c r="AB15" s="23"/>
    </row>
    <row r="16" spans="1:32" x14ac:dyDescent="0.2">
      <c r="A16" s="23"/>
      <c r="B16" s="64"/>
      <c r="M16" s="23"/>
      <c r="N16" s="64"/>
      <c r="AB16" s="23"/>
      <c r="AC16" s="64"/>
    </row>
    <row r="17" spans="1:31" x14ac:dyDescent="0.2">
      <c r="A17" s="23"/>
      <c r="M17" s="23"/>
      <c r="AB17" s="23"/>
    </row>
    <row r="18" spans="1:31" x14ac:dyDescent="0.2">
      <c r="A18" s="141"/>
      <c r="B18" s="141"/>
      <c r="M18" s="133" t="s">
        <v>233</v>
      </c>
      <c r="N18" s="134"/>
      <c r="AB18" s="23"/>
      <c r="AC18" s="64"/>
    </row>
    <row r="19" spans="1:31" x14ac:dyDescent="0.2">
      <c r="A19" s="23"/>
      <c r="M19" s="90" t="s">
        <v>234</v>
      </c>
      <c r="N19" s="5">
        <f>N5-N4</f>
        <v>508</v>
      </c>
      <c r="O19" t="s">
        <v>240</v>
      </c>
      <c r="AB19" s="23"/>
    </row>
    <row r="20" spans="1:31" x14ac:dyDescent="0.2">
      <c r="A20" s="23"/>
      <c r="M20" s="90" t="s">
        <v>241</v>
      </c>
      <c r="N20" s="5">
        <v>10</v>
      </c>
      <c r="O20" t="s">
        <v>240</v>
      </c>
      <c r="AB20" s="133" t="s">
        <v>233</v>
      </c>
      <c r="AC20" s="134"/>
    </row>
    <row r="21" spans="1:31" x14ac:dyDescent="0.2">
      <c r="A21" s="23"/>
      <c r="M21" s="90" t="s">
        <v>235</v>
      </c>
      <c r="N21" s="5">
        <f>N8*3.28*(2/100)</f>
        <v>1.6400000000000001</v>
      </c>
      <c r="O21" t="s">
        <v>240</v>
      </c>
      <c r="AB21" s="90" t="s">
        <v>234</v>
      </c>
      <c r="AC21" s="5">
        <f>AC7-AC6</f>
        <v>508</v>
      </c>
      <c r="AD21" t="s">
        <v>240</v>
      </c>
    </row>
    <row r="22" spans="1:31" x14ac:dyDescent="0.2">
      <c r="A22" s="23"/>
      <c r="M22" s="90" t="s">
        <v>236</v>
      </c>
      <c r="N22" s="5">
        <f>5*3.28*(4/10)</f>
        <v>6.56</v>
      </c>
      <c r="O22" t="s">
        <v>240</v>
      </c>
      <c r="AB22" s="90" t="s">
        <v>241</v>
      </c>
      <c r="AC22" s="5">
        <v>10</v>
      </c>
      <c r="AD22" t="s">
        <v>240</v>
      </c>
    </row>
    <row r="23" spans="1:31" x14ac:dyDescent="0.2">
      <c r="A23" s="23"/>
      <c r="B23" s="23"/>
      <c r="M23" s="95" t="s">
        <v>237</v>
      </c>
      <c r="N23" s="96">
        <f>SUM(N19:N22)</f>
        <v>526.19999999999993</v>
      </c>
      <c r="O23" t="s">
        <v>240</v>
      </c>
      <c r="AB23" s="90" t="s">
        <v>235</v>
      </c>
      <c r="AC23" s="5">
        <f>AC10*3.28*(2/100)</f>
        <v>1.6400000000000001</v>
      </c>
      <c r="AD23" t="s">
        <v>240</v>
      </c>
    </row>
    <row r="24" spans="1:31" x14ac:dyDescent="0.2">
      <c r="AB24" s="90" t="s">
        <v>236</v>
      </c>
      <c r="AC24" s="5">
        <f>5*3.28*(4/10)</f>
        <v>6.56</v>
      </c>
      <c r="AD24" t="s">
        <v>240</v>
      </c>
    </row>
    <row r="25" spans="1:31" x14ac:dyDescent="0.2">
      <c r="A25" s="141"/>
      <c r="B25" s="141"/>
      <c r="M25" s="133" t="s">
        <v>243</v>
      </c>
      <c r="N25" s="134"/>
      <c r="AB25" s="95" t="s">
        <v>237</v>
      </c>
      <c r="AC25" s="96">
        <f>SUM(AC21:AC24)</f>
        <v>526.19999999999993</v>
      </c>
      <c r="AD25" t="s">
        <v>240</v>
      </c>
    </row>
    <row r="26" spans="1:31" x14ac:dyDescent="0.2">
      <c r="A26" s="23"/>
      <c r="B26" s="23"/>
      <c r="L26">
        <f>M26/150</f>
        <v>8.1034799999999994</v>
      </c>
      <c r="M26" s="95">
        <f>N23*2.31</f>
        <v>1215.5219999999999</v>
      </c>
      <c r="N26" s="97" t="s">
        <v>244</v>
      </c>
      <c r="O26" t="s">
        <v>467</v>
      </c>
    </row>
    <row r="27" spans="1:31" x14ac:dyDescent="0.2">
      <c r="A27" s="141"/>
      <c r="B27" s="141"/>
      <c r="M27" s="133" t="s">
        <v>245</v>
      </c>
      <c r="N27" s="134"/>
      <c r="AB27" s="133" t="s">
        <v>243</v>
      </c>
      <c r="AC27" s="134"/>
    </row>
    <row r="28" spans="1:31" x14ac:dyDescent="0.2">
      <c r="A28" s="23"/>
      <c r="B28" s="23"/>
      <c r="L28">
        <f>M28/9</f>
        <v>2354.3319510919337</v>
      </c>
      <c r="M28" s="95">
        <v>21188.987559827401</v>
      </c>
      <c r="N28" s="97" t="s">
        <v>239</v>
      </c>
      <c r="O28" t="s">
        <v>468</v>
      </c>
      <c r="AA28">
        <v>8</v>
      </c>
      <c r="AB28" s="95">
        <f>AC25*2.31</f>
        <v>1215.5219999999999</v>
      </c>
      <c r="AC28" s="97" t="s">
        <v>244</v>
      </c>
      <c r="AD28" t="s">
        <v>467</v>
      </c>
    </row>
    <row r="29" spans="1:31" x14ac:dyDescent="0.2">
      <c r="AB29" s="133" t="s">
        <v>245</v>
      </c>
      <c r="AC29" s="134"/>
    </row>
    <row r="30" spans="1:31" x14ac:dyDescent="0.2">
      <c r="M30" s="98" t="s">
        <v>246</v>
      </c>
      <c r="N30" s="99"/>
      <c r="O30" s="99" t="s">
        <v>247</v>
      </c>
      <c r="P30" s="93" t="s">
        <v>249</v>
      </c>
      <c r="AA30">
        <v>40</v>
      </c>
      <c r="AB30" s="95">
        <v>119316.32</v>
      </c>
      <c r="AC30" s="97" t="s">
        <v>239</v>
      </c>
      <c r="AD30" t="s">
        <v>469</v>
      </c>
    </row>
    <row r="31" spans="1:31" x14ac:dyDescent="0.2">
      <c r="M31" s="100"/>
      <c r="N31">
        <f>32.4</f>
        <v>32.4</v>
      </c>
      <c r="O31" t="s">
        <v>253</v>
      </c>
      <c r="P31" s="5"/>
    </row>
    <row r="32" spans="1:31" x14ac:dyDescent="0.2">
      <c r="M32" s="100"/>
      <c r="O32" t="s">
        <v>240</v>
      </c>
      <c r="P32" s="5"/>
      <c r="AB32" s="98" t="s">
        <v>246</v>
      </c>
      <c r="AC32" s="99"/>
      <c r="AD32" s="99" t="s">
        <v>247</v>
      </c>
      <c r="AE32" s="93" t="s">
        <v>249</v>
      </c>
    </row>
    <row r="33" spans="1:31" x14ac:dyDescent="0.2">
      <c r="M33" s="100" t="s">
        <v>248</v>
      </c>
      <c r="N33">
        <v>25</v>
      </c>
      <c r="O33" t="s">
        <v>244</v>
      </c>
      <c r="P33" s="5" t="s">
        <v>250</v>
      </c>
      <c r="AB33" s="100"/>
      <c r="AC33">
        <f>32.4</f>
        <v>32.4</v>
      </c>
      <c r="AD33" t="s">
        <v>253</v>
      </c>
      <c r="AE33" s="5"/>
    </row>
    <row r="34" spans="1:31" x14ac:dyDescent="0.2">
      <c r="M34" s="100" t="s">
        <v>258</v>
      </c>
      <c r="N34">
        <f>M28/9</f>
        <v>2354.3319510919337</v>
      </c>
      <c r="P34" s="5"/>
      <c r="AB34" s="100"/>
      <c r="AD34" t="s">
        <v>240</v>
      </c>
      <c r="AE34" s="5"/>
    </row>
    <row r="35" spans="1:31" x14ac:dyDescent="0.2">
      <c r="A35" s="141"/>
      <c r="B35" s="141"/>
      <c r="L35" s="31" t="s">
        <v>257</v>
      </c>
      <c r="M35" s="100" t="s">
        <v>259</v>
      </c>
      <c r="N35">
        <v>20</v>
      </c>
      <c r="O35" t="s">
        <v>238</v>
      </c>
      <c r="P35" s="5"/>
      <c r="AB35" s="100" t="s">
        <v>248</v>
      </c>
      <c r="AC35">
        <v>25</v>
      </c>
      <c r="AD35" t="s">
        <v>244</v>
      </c>
      <c r="AE35" s="5" t="s">
        <v>250</v>
      </c>
    </row>
    <row r="36" spans="1:31" x14ac:dyDescent="0.2">
      <c r="A36" s="23"/>
      <c r="M36" s="100" t="s">
        <v>254</v>
      </c>
      <c r="N36">
        <f>(N34*N35)/1714</f>
        <v>27.471784726860371</v>
      </c>
      <c r="P36" s="5"/>
      <c r="R36">
        <f>(N37-N36)/N37</f>
        <v>0.81685476848759753</v>
      </c>
      <c r="S36">
        <f>R36*100</f>
        <v>81.685476848759748</v>
      </c>
      <c r="AB36" s="100" t="s">
        <v>258</v>
      </c>
      <c r="AC36">
        <f>AB30/40</f>
        <v>2982.9080000000004</v>
      </c>
      <c r="AE36" s="5"/>
    </row>
    <row r="37" spans="1:31" x14ac:dyDescent="0.2">
      <c r="A37" s="23"/>
      <c r="M37" s="100" t="s">
        <v>255</v>
      </c>
      <c r="N37">
        <v>150</v>
      </c>
      <c r="O37" t="s">
        <v>256</v>
      </c>
      <c r="P37" s="5"/>
      <c r="AB37" s="100" t="s">
        <v>259</v>
      </c>
      <c r="AC37">
        <v>15</v>
      </c>
      <c r="AD37" t="s">
        <v>238</v>
      </c>
      <c r="AE37" s="5"/>
    </row>
    <row r="38" spans="1:31" x14ac:dyDescent="0.2">
      <c r="A38" s="23"/>
      <c r="M38" s="102" t="s">
        <v>265</v>
      </c>
      <c r="N38" s="103" t="str">
        <f>IF(N31&gt;N33,"NO","YES")</f>
        <v>NO</v>
      </c>
      <c r="O38" s="103"/>
      <c r="P38" s="104"/>
      <c r="AB38" s="100" t="s">
        <v>254</v>
      </c>
      <c r="AC38">
        <f>(AC36*AC37)/1714</f>
        <v>26.104795799299886</v>
      </c>
      <c r="AE38" s="5"/>
    </row>
    <row r="39" spans="1:31" x14ac:dyDescent="0.2">
      <c r="A39" s="23"/>
      <c r="AB39" s="100" t="s">
        <v>255</v>
      </c>
      <c r="AC39">
        <v>150</v>
      </c>
      <c r="AD39" t="s">
        <v>256</v>
      </c>
      <c r="AE39" s="5"/>
    </row>
    <row r="40" spans="1:31" x14ac:dyDescent="0.2">
      <c r="A40" s="23"/>
      <c r="M40" s="138" t="s">
        <v>260</v>
      </c>
      <c r="N40" s="139"/>
      <c r="O40" s="139"/>
      <c r="P40" s="140"/>
      <c r="AB40" s="102" t="s">
        <v>265</v>
      </c>
      <c r="AC40" s="103" t="str">
        <f>IF(AC33&gt;AC35,"NO","YES")</f>
        <v>NO</v>
      </c>
      <c r="AD40" s="103"/>
      <c r="AE40" s="104"/>
    </row>
    <row r="41" spans="1:31" x14ac:dyDescent="0.2">
      <c r="A41" s="23"/>
      <c r="M41" s="100" t="s">
        <v>261</v>
      </c>
      <c r="N41">
        <f>N34</f>
        <v>2354.3319510919337</v>
      </c>
      <c r="P41" s="5"/>
    </row>
    <row r="42" spans="1:31" x14ac:dyDescent="0.2">
      <c r="M42" s="100" t="s">
        <v>262</v>
      </c>
      <c r="N42">
        <f>M26/8</f>
        <v>151.94024999999999</v>
      </c>
      <c r="P42" s="5"/>
      <c r="AB42" s="135" t="s">
        <v>260</v>
      </c>
      <c r="AC42" s="136"/>
      <c r="AD42" s="136"/>
      <c r="AE42" s="137"/>
    </row>
    <row r="43" spans="1:31" x14ac:dyDescent="0.2">
      <c r="M43" s="100" t="s">
        <v>263</v>
      </c>
      <c r="N43">
        <v>1</v>
      </c>
      <c r="P43" s="5"/>
      <c r="AB43" s="100" t="s">
        <v>261</v>
      </c>
      <c r="AC43">
        <f>AC36</f>
        <v>2982.9080000000004</v>
      </c>
      <c r="AE43" s="5"/>
    </row>
    <row r="44" spans="1:31" x14ac:dyDescent="0.2">
      <c r="M44" s="100" t="s">
        <v>255</v>
      </c>
      <c r="N44">
        <f>N37</f>
        <v>150</v>
      </c>
      <c r="P44" s="5"/>
      <c r="AB44" s="100" t="s">
        <v>262</v>
      </c>
      <c r="AC44">
        <f>AB28/8</f>
        <v>151.94024999999999</v>
      </c>
      <c r="AE44" s="5"/>
    </row>
    <row r="45" spans="1:31" x14ac:dyDescent="0.2">
      <c r="M45" s="105" t="s">
        <v>264</v>
      </c>
      <c r="N45" s="106">
        <f>(N41*N42*N43)/(3960*N44)</f>
        <v>0.6022184936563908</v>
      </c>
      <c r="O45" s="101"/>
      <c r="P45" s="7"/>
      <c r="AB45" s="100" t="s">
        <v>263</v>
      </c>
      <c r="AC45">
        <v>1</v>
      </c>
      <c r="AE45" s="5"/>
    </row>
    <row r="46" spans="1:31" x14ac:dyDescent="0.2">
      <c r="AB46" s="100" t="s">
        <v>255</v>
      </c>
      <c r="AC46">
        <f>AC39</f>
        <v>150</v>
      </c>
      <c r="AE46" s="5"/>
    </row>
    <row r="47" spans="1:31" x14ac:dyDescent="0.2">
      <c r="AB47" s="105" t="s">
        <v>264</v>
      </c>
      <c r="AC47" s="106">
        <f>(AC43*AC44*AC45)/(3960*AC46)</f>
        <v>0.76300300883333338</v>
      </c>
      <c r="AD47" s="101"/>
      <c r="AE47" s="7"/>
    </row>
    <row r="49" spans="13:17" x14ac:dyDescent="0.2">
      <c r="M49">
        <v>2</v>
      </c>
      <c r="N49" t="s">
        <v>266</v>
      </c>
      <c r="P49" s="107" t="s">
        <v>267</v>
      </c>
    </row>
    <row r="51" spans="13:17" x14ac:dyDescent="0.2">
      <c r="M51" s="92" t="s">
        <v>251</v>
      </c>
      <c r="N51" s="93">
        <f>N4</f>
        <v>14</v>
      </c>
      <c r="O51" t="s">
        <v>240</v>
      </c>
    </row>
    <row r="52" spans="13:17" x14ac:dyDescent="0.2">
      <c r="M52" s="90" t="s">
        <v>252</v>
      </c>
      <c r="N52" s="5">
        <v>522</v>
      </c>
      <c r="O52" t="s">
        <v>240</v>
      </c>
    </row>
    <row r="53" spans="13:17" x14ac:dyDescent="0.2">
      <c r="M53" s="90" t="s">
        <v>221</v>
      </c>
      <c r="N53" s="94"/>
      <c r="O53" t="s">
        <v>225</v>
      </c>
      <c r="P53" s="23"/>
      <c r="Q53" s="23"/>
    </row>
    <row r="54" spans="13:17" x14ac:dyDescent="0.2">
      <c r="M54" s="90" t="s">
        <v>222</v>
      </c>
      <c r="N54" s="5">
        <v>25</v>
      </c>
      <c r="O54" t="s">
        <v>226</v>
      </c>
    </row>
    <row r="55" spans="13:17" x14ac:dyDescent="0.2">
      <c r="M55" s="90" t="s">
        <v>223</v>
      </c>
      <c r="N55" s="5">
        <v>35</v>
      </c>
      <c r="O55" t="s">
        <v>227</v>
      </c>
      <c r="P55" t="s">
        <v>228</v>
      </c>
    </row>
    <row r="56" spans="13:17" x14ac:dyDescent="0.2">
      <c r="M56" s="90" t="s">
        <v>224</v>
      </c>
      <c r="N56" s="5">
        <v>5</v>
      </c>
      <c r="O56" t="s">
        <v>227</v>
      </c>
      <c r="P56" t="s">
        <v>228</v>
      </c>
    </row>
    <row r="57" spans="13:17" x14ac:dyDescent="0.2">
      <c r="M57" s="90" t="s">
        <v>230</v>
      </c>
      <c r="N57" s="5"/>
      <c r="O57" t="s">
        <v>231</v>
      </c>
    </row>
    <row r="58" spans="13:17" x14ac:dyDescent="0.2">
      <c r="M58" s="90" t="s">
        <v>229</v>
      </c>
      <c r="N58" s="5"/>
      <c r="O58" t="s">
        <v>231</v>
      </c>
    </row>
    <row r="59" spans="13:17" x14ac:dyDescent="0.2">
      <c r="M59" s="91" t="s">
        <v>242</v>
      </c>
      <c r="N59" s="7"/>
      <c r="O59" t="s">
        <v>231</v>
      </c>
    </row>
    <row r="60" spans="13:17" x14ac:dyDescent="0.2">
      <c r="M60" s="23"/>
    </row>
    <row r="61" spans="13:17" x14ac:dyDescent="0.2">
      <c r="M61" s="23"/>
      <c r="N61" s="64"/>
    </row>
    <row r="62" spans="13:17" x14ac:dyDescent="0.2">
      <c r="M62" s="23"/>
    </row>
    <row r="63" spans="13:17" x14ac:dyDescent="0.2">
      <c r="M63" s="23"/>
      <c r="N63" s="64"/>
    </row>
    <row r="64" spans="13:17" x14ac:dyDescent="0.2">
      <c r="M64" s="23"/>
    </row>
    <row r="65" spans="12:16" x14ac:dyDescent="0.2">
      <c r="M65" s="133" t="s">
        <v>233</v>
      </c>
      <c r="N65" s="134"/>
    </row>
    <row r="66" spans="12:16" x14ac:dyDescent="0.2">
      <c r="M66" s="90" t="s">
        <v>234</v>
      </c>
      <c r="N66" s="5">
        <f>N52-N51</f>
        <v>508</v>
      </c>
      <c r="O66" t="s">
        <v>240</v>
      </c>
    </row>
    <row r="67" spans="12:16" x14ac:dyDescent="0.2">
      <c r="M67" s="90" t="s">
        <v>241</v>
      </c>
      <c r="N67" s="5">
        <v>10</v>
      </c>
      <c r="O67" t="s">
        <v>240</v>
      </c>
    </row>
    <row r="68" spans="12:16" x14ac:dyDescent="0.2">
      <c r="M68" s="90" t="s">
        <v>235</v>
      </c>
      <c r="N68" s="5">
        <f>N55*3.28*(2/100)</f>
        <v>2.2959999999999998</v>
      </c>
      <c r="O68" t="s">
        <v>240</v>
      </c>
    </row>
    <row r="69" spans="12:16" x14ac:dyDescent="0.2">
      <c r="M69" s="90" t="s">
        <v>236</v>
      </c>
      <c r="N69" s="5">
        <f>5*3.28*(4/10)</f>
        <v>6.56</v>
      </c>
      <c r="O69" t="s">
        <v>240</v>
      </c>
    </row>
    <row r="70" spans="12:16" x14ac:dyDescent="0.2">
      <c r="M70" s="95" t="s">
        <v>237</v>
      </c>
      <c r="N70" s="96">
        <f>SUM(N66:N69)</f>
        <v>526.85599999999999</v>
      </c>
      <c r="O70" t="s">
        <v>240</v>
      </c>
    </row>
    <row r="72" spans="12:16" x14ac:dyDescent="0.2">
      <c r="M72" s="133" t="s">
        <v>243</v>
      </c>
      <c r="N72" s="134"/>
    </row>
    <row r="73" spans="12:16" x14ac:dyDescent="0.2">
      <c r="L73">
        <f>M73/10</f>
        <v>121.70373600000001</v>
      </c>
      <c r="M73" s="95">
        <f>N70*2.31</f>
        <v>1217.03736</v>
      </c>
      <c r="N73" s="97" t="s">
        <v>244</v>
      </c>
    </row>
    <row r="74" spans="12:16" x14ac:dyDescent="0.2">
      <c r="M74" s="133" t="s">
        <v>245</v>
      </c>
      <c r="N74" s="134"/>
    </row>
    <row r="75" spans="12:16" x14ac:dyDescent="0.2">
      <c r="L75">
        <f>M75/50</f>
        <v>824.94</v>
      </c>
      <c r="M75" s="95">
        <f>41247</f>
        <v>41247</v>
      </c>
      <c r="N75" s="97" t="s">
        <v>239</v>
      </c>
    </row>
    <row r="77" spans="12:16" x14ac:dyDescent="0.2">
      <c r="M77" s="98" t="s">
        <v>246</v>
      </c>
      <c r="N77" s="99"/>
      <c r="O77" s="99" t="s">
        <v>247</v>
      </c>
      <c r="P77" s="93" t="s">
        <v>249</v>
      </c>
    </row>
    <row r="78" spans="12:16" x14ac:dyDescent="0.2">
      <c r="M78" s="100"/>
      <c r="N78">
        <f>32.4</f>
        <v>32.4</v>
      </c>
      <c r="O78" t="s">
        <v>253</v>
      </c>
      <c r="P78" s="5"/>
    </row>
    <row r="79" spans="12:16" x14ac:dyDescent="0.2">
      <c r="M79" s="100"/>
      <c r="O79" t="s">
        <v>240</v>
      </c>
      <c r="P79" s="5"/>
    </row>
    <row r="80" spans="12:16" x14ac:dyDescent="0.2">
      <c r="M80" s="100" t="s">
        <v>248</v>
      </c>
      <c r="N80">
        <v>25</v>
      </c>
      <c r="O80" t="s">
        <v>244</v>
      </c>
      <c r="P80" s="5" t="s">
        <v>250</v>
      </c>
    </row>
    <row r="81" spans="13:16" x14ac:dyDescent="0.2">
      <c r="M81" s="100" t="s">
        <v>258</v>
      </c>
      <c r="N81">
        <f>M75/4</f>
        <v>10311.75</v>
      </c>
      <c r="P81" s="5"/>
    </row>
    <row r="82" spans="13:16" x14ac:dyDescent="0.2">
      <c r="M82" s="100" t="s">
        <v>259</v>
      </c>
      <c r="N82">
        <v>20</v>
      </c>
      <c r="O82" t="s">
        <v>238</v>
      </c>
      <c r="P82" s="5"/>
    </row>
    <row r="83" spans="13:16" x14ac:dyDescent="0.2">
      <c r="M83" s="100" t="s">
        <v>254</v>
      </c>
      <c r="N83">
        <f>(N81*N82)/1714</f>
        <v>120.32380396732789</v>
      </c>
      <c r="P83" s="5"/>
    </row>
    <row r="84" spans="13:16" x14ac:dyDescent="0.2">
      <c r="M84" s="100" t="s">
        <v>255</v>
      </c>
      <c r="N84">
        <v>125</v>
      </c>
      <c r="O84" t="s">
        <v>256</v>
      </c>
      <c r="P84" s="5"/>
    </row>
    <row r="85" spans="13:16" x14ac:dyDescent="0.2">
      <c r="M85" s="102" t="s">
        <v>265</v>
      </c>
      <c r="N85" s="103" t="str">
        <f>IF(N78&gt;N80,"NO","YES")</f>
        <v>NO</v>
      </c>
      <c r="O85" s="103"/>
      <c r="P85" s="104"/>
    </row>
    <row r="87" spans="13:16" x14ac:dyDescent="0.2">
      <c r="M87" s="135" t="s">
        <v>260</v>
      </c>
      <c r="N87" s="136"/>
      <c r="O87" s="136"/>
      <c r="P87" s="137"/>
    </row>
    <row r="88" spans="13:16" x14ac:dyDescent="0.2">
      <c r="M88" s="100" t="s">
        <v>261</v>
      </c>
      <c r="N88">
        <f>M75/4</f>
        <v>10311.75</v>
      </c>
      <c r="P88" s="5"/>
    </row>
    <row r="89" spans="13:16" x14ac:dyDescent="0.2">
      <c r="M89" s="100" t="s">
        <v>262</v>
      </c>
      <c r="N89">
        <f>M73/2</f>
        <v>608.51868000000002</v>
      </c>
      <c r="P89" s="5"/>
    </row>
    <row r="90" spans="13:16" x14ac:dyDescent="0.2">
      <c r="M90" s="100" t="s">
        <v>263</v>
      </c>
      <c r="N90">
        <v>1</v>
      </c>
      <c r="P90" s="5"/>
    </row>
    <row r="91" spans="13:16" x14ac:dyDescent="0.2">
      <c r="M91" s="100" t="s">
        <v>255</v>
      </c>
      <c r="N91">
        <f>N84</f>
        <v>125</v>
      </c>
      <c r="P91" s="5"/>
    </row>
    <row r="92" spans="13:16" x14ac:dyDescent="0.2">
      <c r="M92" s="105" t="s">
        <v>264</v>
      </c>
      <c r="N92" s="106">
        <f>(N88*N89*N90)/(3960*N91)</f>
        <v>12.676550502</v>
      </c>
      <c r="O92" s="101"/>
      <c r="P92" s="7"/>
    </row>
    <row r="93" spans="13:16" x14ac:dyDescent="0.2">
      <c r="N93" t="s">
        <v>269</v>
      </c>
    </row>
  </sheetData>
  <mergeCells count="16">
    <mergeCell ref="A18:B18"/>
    <mergeCell ref="A25:B25"/>
    <mergeCell ref="A27:B27"/>
    <mergeCell ref="A35:B35"/>
    <mergeCell ref="M18:N18"/>
    <mergeCell ref="M25:N25"/>
    <mergeCell ref="M27:N27"/>
    <mergeCell ref="M65:N65"/>
    <mergeCell ref="M72:N72"/>
    <mergeCell ref="M74:N74"/>
    <mergeCell ref="M87:P87"/>
    <mergeCell ref="AB20:AC20"/>
    <mergeCell ref="AB27:AC27"/>
    <mergeCell ref="AB29:AC29"/>
    <mergeCell ref="AB42:AE42"/>
    <mergeCell ref="M40:P40"/>
  </mergeCells>
  <pageMargins left="0.7" right="0.7" top="0.75" bottom="0.75" header="0.3" footer="0.3"/>
  <pageSetup scale="21" orientation="landscape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03A651-30FA-7E40-83EA-E1C6526614DA}">
  <sheetPr>
    <pageSetUpPr fitToPage="1"/>
  </sheetPr>
  <dimension ref="A2:AA65"/>
  <sheetViews>
    <sheetView tabSelected="1" zoomScale="125" workbookViewId="0">
      <selection activeCell="W59" sqref="W59"/>
    </sheetView>
  </sheetViews>
  <sheetFormatPr baseColWidth="10" defaultRowHeight="16" x14ac:dyDescent="0.2"/>
  <cols>
    <col min="1" max="1" width="11.5" customWidth="1"/>
    <col min="2" max="2" width="24.1640625" customWidth="1"/>
    <col min="4" max="4" width="14.1640625" customWidth="1"/>
    <col min="5" max="5" width="10.83203125" customWidth="1"/>
    <col min="15" max="15" width="25.5" customWidth="1"/>
    <col min="22" max="22" width="21" customWidth="1"/>
  </cols>
  <sheetData>
    <row r="2" spans="1:26" x14ac:dyDescent="0.2">
      <c r="C2" s="124" t="s">
        <v>389</v>
      </c>
      <c r="D2" s="125" t="s">
        <v>390</v>
      </c>
      <c r="E2" s="125" t="s">
        <v>391</v>
      </c>
      <c r="F2" s="126" t="s">
        <v>392</v>
      </c>
      <c r="W2" s="124" t="s">
        <v>389</v>
      </c>
      <c r="X2" s="125" t="s">
        <v>390</v>
      </c>
      <c r="Y2" s="125" t="s">
        <v>391</v>
      </c>
      <c r="Z2" s="126" t="s">
        <v>392</v>
      </c>
    </row>
    <row r="3" spans="1:26" x14ac:dyDescent="0.2">
      <c r="B3" s="121" t="s">
        <v>393</v>
      </c>
      <c r="C3" s="98">
        <v>481.2</v>
      </c>
      <c r="D3" s="99">
        <v>270.8</v>
      </c>
      <c r="E3" s="99">
        <v>32</v>
      </c>
      <c r="F3" s="93">
        <v>48</v>
      </c>
      <c r="P3" s="124" t="s">
        <v>460</v>
      </c>
      <c r="Q3" s="125" t="s">
        <v>461</v>
      </c>
      <c r="R3" s="125" t="s">
        <v>462</v>
      </c>
      <c r="S3" s="126" t="s">
        <v>463</v>
      </c>
      <c r="V3" s="121" t="s">
        <v>393</v>
      </c>
      <c r="W3" s="98">
        <v>488.29036897039202</v>
      </c>
      <c r="X3" s="99">
        <v>210.6</v>
      </c>
      <c r="Y3" s="99">
        <v>10</v>
      </c>
      <c r="Z3" s="93">
        <v>15</v>
      </c>
    </row>
    <row r="4" spans="1:26" x14ac:dyDescent="0.2">
      <c r="B4" s="122" t="s">
        <v>276</v>
      </c>
      <c r="C4" s="117">
        <v>11500</v>
      </c>
      <c r="D4" s="64">
        <v>11480000</v>
      </c>
      <c r="E4">
        <v>101</v>
      </c>
      <c r="F4" s="5">
        <v>41</v>
      </c>
      <c r="O4" s="121" t="s">
        <v>393</v>
      </c>
      <c r="P4" s="98">
        <v>128</v>
      </c>
      <c r="Q4" s="99">
        <v>210</v>
      </c>
      <c r="R4" s="99">
        <v>398.9</v>
      </c>
      <c r="S4" s="93">
        <v>232.2</v>
      </c>
      <c r="V4" s="122" t="s">
        <v>276</v>
      </c>
      <c r="W4" s="117">
        <v>3500</v>
      </c>
      <c r="X4" s="64">
        <v>3479</v>
      </c>
      <c r="Y4">
        <v>101</v>
      </c>
      <c r="Z4" s="5">
        <v>41</v>
      </c>
    </row>
    <row r="5" spans="1:26" x14ac:dyDescent="0.2">
      <c r="B5" s="123" t="s">
        <v>394</v>
      </c>
      <c r="C5" s="118">
        <v>11120000</v>
      </c>
      <c r="D5" s="119">
        <v>11480</v>
      </c>
      <c r="E5" s="119">
        <v>63000000</v>
      </c>
      <c r="F5" s="120">
        <v>63000000</v>
      </c>
      <c r="O5" s="122" t="s">
        <v>276</v>
      </c>
      <c r="P5" s="117">
        <v>3500</v>
      </c>
      <c r="Q5" s="64">
        <v>3479</v>
      </c>
      <c r="R5">
        <v>101.3</v>
      </c>
      <c r="S5" s="5">
        <v>66.319999999999993</v>
      </c>
      <c r="V5" s="123" t="s">
        <v>394</v>
      </c>
      <c r="W5" s="118">
        <v>10923171.151889199</v>
      </c>
      <c r="X5" s="118">
        <v>10923171.151889199</v>
      </c>
      <c r="Y5" s="119">
        <v>257000000</v>
      </c>
      <c r="Z5" s="119">
        <v>257000000</v>
      </c>
    </row>
    <row r="6" spans="1:26" x14ac:dyDescent="0.2">
      <c r="O6" s="123" t="s">
        <v>394</v>
      </c>
      <c r="P6" s="118">
        <v>11120000</v>
      </c>
      <c r="Q6" s="119">
        <v>11480</v>
      </c>
      <c r="R6" s="119">
        <v>615200</v>
      </c>
      <c r="S6" s="119">
        <v>615200</v>
      </c>
    </row>
    <row r="7" spans="1:26" x14ac:dyDescent="0.2">
      <c r="A7" s="148" t="s">
        <v>401</v>
      </c>
      <c r="B7" s="127" t="s">
        <v>395</v>
      </c>
      <c r="C7" s="128">
        <v>73300000000</v>
      </c>
      <c r="D7" t="s">
        <v>402</v>
      </c>
      <c r="U7" s="148" t="s">
        <v>401</v>
      </c>
      <c r="V7" s="127" t="s">
        <v>395</v>
      </c>
      <c r="W7" s="128">
        <v>257000000</v>
      </c>
      <c r="X7" t="s">
        <v>402</v>
      </c>
    </row>
    <row r="8" spans="1:26" x14ac:dyDescent="0.2">
      <c r="A8" s="149"/>
      <c r="B8" s="129" t="s">
        <v>396</v>
      </c>
      <c r="C8" s="94">
        <v>0</v>
      </c>
      <c r="D8" t="s">
        <v>402</v>
      </c>
      <c r="N8" s="148" t="s">
        <v>401</v>
      </c>
      <c r="O8" s="127" t="s">
        <v>395</v>
      </c>
      <c r="P8" s="128">
        <v>62020000000</v>
      </c>
      <c r="Q8" t="s">
        <v>402</v>
      </c>
      <c r="U8" s="149"/>
      <c r="V8" s="129" t="s">
        <v>396</v>
      </c>
      <c r="W8" s="94">
        <v>0</v>
      </c>
      <c r="X8" t="s">
        <v>402</v>
      </c>
    </row>
    <row r="9" spans="1:26" x14ac:dyDescent="0.2">
      <c r="A9" s="149"/>
      <c r="B9" s="129" t="s">
        <v>397</v>
      </c>
      <c r="C9" s="94">
        <v>0</v>
      </c>
      <c r="D9" t="s">
        <v>402</v>
      </c>
      <c r="N9" s="149"/>
      <c r="O9" s="129" t="s">
        <v>396</v>
      </c>
      <c r="P9" s="94">
        <v>0</v>
      </c>
      <c r="Q9" t="s">
        <v>402</v>
      </c>
      <c r="U9" s="149"/>
      <c r="V9" s="129" t="s">
        <v>397</v>
      </c>
      <c r="W9" s="94">
        <v>0</v>
      </c>
      <c r="X9" t="s">
        <v>402</v>
      </c>
    </row>
    <row r="10" spans="1:26" x14ac:dyDescent="0.2">
      <c r="A10" s="149"/>
      <c r="B10" s="129" t="s">
        <v>398</v>
      </c>
      <c r="C10" s="94">
        <v>225000000</v>
      </c>
      <c r="D10" t="s">
        <v>403</v>
      </c>
      <c r="N10" s="149"/>
      <c r="O10" s="129" t="s">
        <v>397</v>
      </c>
      <c r="P10" s="94">
        <v>0</v>
      </c>
      <c r="Q10" t="s">
        <v>402</v>
      </c>
      <c r="U10" s="149"/>
      <c r="V10" s="129" t="s">
        <v>398</v>
      </c>
      <c r="W10" s="94">
        <v>294356189.377599</v>
      </c>
      <c r="X10" t="s">
        <v>403</v>
      </c>
    </row>
    <row r="11" spans="1:26" x14ac:dyDescent="0.2">
      <c r="A11" s="149"/>
      <c r="B11" s="129" t="s">
        <v>399</v>
      </c>
      <c r="C11" s="5">
        <v>238.822</v>
      </c>
      <c r="D11" t="s">
        <v>371</v>
      </c>
      <c r="N11" s="149"/>
      <c r="O11" s="129" t="s">
        <v>398</v>
      </c>
      <c r="P11" s="94">
        <v>439000000</v>
      </c>
      <c r="Q11" t="s">
        <v>403</v>
      </c>
      <c r="U11" s="149"/>
      <c r="V11" s="129" t="s">
        <v>399</v>
      </c>
      <c r="W11" s="5">
        <v>238.822</v>
      </c>
      <c r="X11" t="s">
        <v>371</v>
      </c>
    </row>
    <row r="12" spans="1:26" x14ac:dyDescent="0.2">
      <c r="A12" s="149"/>
      <c r="B12" s="129" t="s">
        <v>400</v>
      </c>
      <c r="C12" s="5">
        <v>326.3</v>
      </c>
      <c r="D12" t="s">
        <v>371</v>
      </c>
      <c r="N12" s="149"/>
      <c r="O12" s="129" t="s">
        <v>399</v>
      </c>
      <c r="P12" s="5">
        <v>104.22199999999999</v>
      </c>
      <c r="Q12" t="s">
        <v>371</v>
      </c>
      <c r="U12" s="149"/>
      <c r="V12" s="129" t="s">
        <v>400</v>
      </c>
      <c r="W12" s="5">
        <v>326.3</v>
      </c>
      <c r="X12" t="s">
        <v>371</v>
      </c>
    </row>
    <row r="13" spans="1:26" x14ac:dyDescent="0.2">
      <c r="A13" s="149"/>
      <c r="B13" s="129" t="s">
        <v>404</v>
      </c>
      <c r="C13" s="5">
        <v>270.8</v>
      </c>
      <c r="D13" t="s">
        <v>371</v>
      </c>
      <c r="N13" s="149"/>
      <c r="O13" s="129" t="s">
        <v>400</v>
      </c>
      <c r="P13" s="5">
        <v>141.4</v>
      </c>
      <c r="Q13" t="s">
        <v>371</v>
      </c>
      <c r="U13" s="149"/>
      <c r="V13" s="129" t="s">
        <v>404</v>
      </c>
      <c r="W13" s="5">
        <v>270.8</v>
      </c>
      <c r="X13" t="s">
        <v>371</v>
      </c>
    </row>
    <row r="14" spans="1:26" x14ac:dyDescent="0.2">
      <c r="A14" s="149"/>
      <c r="B14" s="129" t="s">
        <v>405</v>
      </c>
      <c r="C14" s="5">
        <v>32</v>
      </c>
      <c r="D14" t="s">
        <v>371</v>
      </c>
      <c r="N14" s="149"/>
      <c r="O14" s="129" t="s">
        <v>404</v>
      </c>
      <c r="P14" s="5">
        <v>232.22200000000001</v>
      </c>
      <c r="Q14" t="s">
        <v>371</v>
      </c>
      <c r="U14" s="149"/>
      <c r="V14" s="129" t="s">
        <v>405</v>
      </c>
      <c r="W14" s="5">
        <v>32</v>
      </c>
      <c r="X14" t="s">
        <v>371</v>
      </c>
    </row>
    <row r="15" spans="1:26" x14ac:dyDescent="0.2">
      <c r="A15" s="149"/>
      <c r="B15" s="129" t="s">
        <v>406</v>
      </c>
      <c r="C15" s="5">
        <v>1</v>
      </c>
      <c r="N15" s="149"/>
      <c r="O15" s="129" t="s">
        <v>405</v>
      </c>
      <c r="P15" s="5">
        <v>128</v>
      </c>
      <c r="Q15" t="s">
        <v>371</v>
      </c>
      <c r="U15" s="149"/>
      <c r="V15" s="129" t="s">
        <v>406</v>
      </c>
      <c r="W15" s="5">
        <v>1</v>
      </c>
    </row>
    <row r="16" spans="1:26" x14ac:dyDescent="0.2">
      <c r="A16" s="150"/>
      <c r="B16" s="130" t="s">
        <v>407</v>
      </c>
      <c r="C16" s="7">
        <v>326.42500000000001</v>
      </c>
      <c r="D16" t="s">
        <v>371</v>
      </c>
      <c r="N16" s="149"/>
      <c r="O16" s="129" t="s">
        <v>406</v>
      </c>
      <c r="P16" s="5">
        <v>0.99299999999999999</v>
      </c>
      <c r="U16" s="150"/>
      <c r="V16" s="130" t="s">
        <v>407</v>
      </c>
      <c r="W16" s="7">
        <v>326.42500000000001</v>
      </c>
      <c r="X16" t="s">
        <v>371</v>
      </c>
    </row>
    <row r="17" spans="1:26" x14ac:dyDescent="0.2">
      <c r="N17" s="150"/>
      <c r="O17" s="130" t="s">
        <v>407</v>
      </c>
      <c r="P17" s="7">
        <v>142.386</v>
      </c>
      <c r="Q17" t="s">
        <v>371</v>
      </c>
    </row>
    <row r="18" spans="1:26" x14ac:dyDescent="0.2">
      <c r="A18" s="153" t="s">
        <v>429</v>
      </c>
      <c r="B18" s="151" t="s">
        <v>408</v>
      </c>
      <c r="C18" s="152"/>
      <c r="D18" s="152"/>
      <c r="E18" s="152"/>
      <c r="F18" s="152"/>
      <c r="U18" s="153" t="s">
        <v>429</v>
      </c>
      <c r="V18" s="151" t="s">
        <v>408</v>
      </c>
      <c r="W18" s="152"/>
      <c r="X18" s="152"/>
      <c r="Y18" s="152"/>
      <c r="Z18" s="152"/>
    </row>
    <row r="19" spans="1:26" x14ac:dyDescent="0.2">
      <c r="A19" s="154"/>
      <c r="B19" s="121" t="s">
        <v>409</v>
      </c>
      <c r="C19">
        <f>C3-F3</f>
        <v>433.2</v>
      </c>
      <c r="D19" t="s">
        <v>371</v>
      </c>
      <c r="N19" s="153" t="s">
        <v>429</v>
      </c>
      <c r="O19" s="151" t="s">
        <v>408</v>
      </c>
      <c r="P19" s="152"/>
      <c r="Q19" s="152"/>
      <c r="R19" s="152"/>
      <c r="S19" s="152"/>
      <c r="U19" s="154"/>
      <c r="V19" s="121" t="s">
        <v>409</v>
      </c>
      <c r="W19">
        <f>W3-Z3</f>
        <v>473.29036897039202</v>
      </c>
      <c r="X19" t="s">
        <v>371</v>
      </c>
    </row>
    <row r="20" spans="1:26" x14ac:dyDescent="0.2">
      <c r="A20" s="154"/>
      <c r="B20" s="122" t="s">
        <v>410</v>
      </c>
      <c r="C20">
        <f>D3-E3</f>
        <v>238.8</v>
      </c>
      <c r="D20" t="s">
        <v>371</v>
      </c>
      <c r="N20" s="154"/>
      <c r="O20" s="121" t="s">
        <v>409</v>
      </c>
      <c r="P20">
        <f>R4-Q4</f>
        <v>188.89999999999998</v>
      </c>
      <c r="Q20" t="s">
        <v>371</v>
      </c>
      <c r="U20" s="154"/>
      <c r="V20" s="122" t="s">
        <v>410</v>
      </c>
      <c r="W20">
        <f>X3-Y3</f>
        <v>200.6</v>
      </c>
      <c r="X20" t="s">
        <v>371</v>
      </c>
    </row>
    <row r="21" spans="1:26" x14ac:dyDescent="0.2">
      <c r="A21" s="154"/>
      <c r="B21" s="122" t="s">
        <v>411</v>
      </c>
      <c r="C21">
        <f>(C19-C20)/(LN(C19/C20))</f>
        <v>326.40827638109215</v>
      </c>
      <c r="D21" t="s">
        <v>371</v>
      </c>
      <c r="N21" s="154"/>
      <c r="O21" s="122" t="s">
        <v>410</v>
      </c>
      <c r="P21">
        <f>S4-P4</f>
        <v>104.19999999999999</v>
      </c>
      <c r="Q21" t="s">
        <v>371</v>
      </c>
      <c r="U21" s="154"/>
      <c r="V21" s="122" t="s">
        <v>411</v>
      </c>
      <c r="W21">
        <f>(W19-W20)/(LN(W19/W20))</f>
        <v>317.67424529591955</v>
      </c>
      <c r="X21" t="s">
        <v>371</v>
      </c>
    </row>
    <row r="22" spans="1:26" x14ac:dyDescent="0.2">
      <c r="A22" s="154"/>
      <c r="B22" s="122" t="s">
        <v>321</v>
      </c>
      <c r="C22">
        <f>(C3-F3)/(D3-E3)</f>
        <v>1.8140703517587939</v>
      </c>
      <c r="N22" s="154"/>
      <c r="O22" s="122" t="s">
        <v>411</v>
      </c>
      <c r="P22">
        <f>(P20-P21)/(LN(P20/P21))</f>
        <v>142.37551901731459</v>
      </c>
      <c r="Q22" t="s">
        <v>371</v>
      </c>
      <c r="U22" s="154"/>
      <c r="V22" s="122" t="s">
        <v>321</v>
      </c>
      <c r="W22">
        <f>(W3-Z3)/(X3-Y3)</f>
        <v>2.3593737236809176</v>
      </c>
    </row>
    <row r="23" spans="1:26" x14ac:dyDescent="0.2">
      <c r="A23" s="154"/>
      <c r="B23" s="122" t="s">
        <v>15</v>
      </c>
      <c r="C23">
        <f>(D3-E3)/(C3-E3)</f>
        <v>0.53161175422974183</v>
      </c>
      <c r="N23" s="154"/>
      <c r="O23" s="122" t="s">
        <v>321</v>
      </c>
      <c r="P23">
        <f>(R4-Q4)/(S4-P4)</f>
        <v>1.8128598848368522</v>
      </c>
      <c r="U23" s="154"/>
      <c r="V23" s="122" t="s">
        <v>15</v>
      </c>
      <c r="W23">
        <f>(X3-Y3)/(W3-Y3)</f>
        <v>0.41941049415615117</v>
      </c>
    </row>
    <row r="24" spans="1:26" x14ac:dyDescent="0.2">
      <c r="A24" s="154"/>
      <c r="B24" s="122" t="s">
        <v>412</v>
      </c>
      <c r="C24">
        <f>(SQRT(C22^2+1))*LN((1-C23)/(1-C22*C23))</f>
        <v>5.3368953560310874</v>
      </c>
      <c r="N24" s="154"/>
      <c r="O24" s="122" t="s">
        <v>15</v>
      </c>
      <c r="P24">
        <f>(S4-P4)/(R4-P4)</f>
        <v>0.38464377999261717</v>
      </c>
      <c r="U24" s="154"/>
      <c r="V24" s="122" t="s">
        <v>412</v>
      </c>
      <c r="W24">
        <f>(SQRT(W22^2+1))*LN((1-W23)/(1-W22*W23))</f>
        <v>10.293925439192247</v>
      </c>
    </row>
    <row r="25" spans="1:26" x14ac:dyDescent="0.2">
      <c r="A25" s="154"/>
      <c r="B25" s="122" t="s">
        <v>413</v>
      </c>
      <c r="N25" s="154"/>
      <c r="O25" s="122" t="s">
        <v>412</v>
      </c>
      <c r="P25">
        <f>(SQRT(P23^2+1))*LN((1-P24)/(1-P23*P24))</f>
        <v>1.4688839224561636</v>
      </c>
      <c r="U25" s="154"/>
      <c r="V25" s="122" t="s">
        <v>413</v>
      </c>
    </row>
    <row r="26" spans="1:26" x14ac:dyDescent="0.2">
      <c r="A26" s="154"/>
      <c r="B26" s="122" t="s">
        <v>414</v>
      </c>
      <c r="C26">
        <v>0.87</v>
      </c>
      <c r="N26" s="154"/>
      <c r="O26" s="122" t="s">
        <v>413</v>
      </c>
      <c r="U26" s="154"/>
      <c r="V26" s="122" t="s">
        <v>414</v>
      </c>
      <c r="W26">
        <v>0.99</v>
      </c>
    </row>
    <row r="27" spans="1:26" x14ac:dyDescent="0.2">
      <c r="A27" s="154"/>
      <c r="B27" s="122" t="s">
        <v>423</v>
      </c>
      <c r="C27" s="131" t="s">
        <v>424</v>
      </c>
      <c r="N27" s="154"/>
      <c r="O27" s="122" t="s">
        <v>414</v>
      </c>
      <c r="P27">
        <v>0.98</v>
      </c>
      <c r="U27" s="154"/>
      <c r="V27" s="122" t="s">
        <v>423</v>
      </c>
      <c r="W27" s="131" t="s">
        <v>424</v>
      </c>
    </row>
    <row r="28" spans="1:26" x14ac:dyDescent="0.2">
      <c r="A28" s="154"/>
      <c r="B28" s="145" t="s">
        <v>415</v>
      </c>
      <c r="C28" s="146"/>
      <c r="D28" s="146"/>
      <c r="E28" s="146"/>
      <c r="F28" s="147"/>
      <c r="N28" s="154"/>
      <c r="O28" s="122" t="s">
        <v>423</v>
      </c>
      <c r="P28" s="131" t="s">
        <v>424</v>
      </c>
      <c r="U28" s="154"/>
      <c r="V28" s="145" t="s">
        <v>415</v>
      </c>
      <c r="W28" s="146"/>
      <c r="X28" s="146"/>
      <c r="Y28" s="146"/>
      <c r="Z28" s="147"/>
    </row>
    <row r="29" spans="1:26" x14ac:dyDescent="0.2">
      <c r="A29" s="154"/>
      <c r="B29" s="121" t="s">
        <v>416</v>
      </c>
      <c r="C29">
        <v>225</v>
      </c>
      <c r="D29" t="s">
        <v>417</v>
      </c>
      <c r="N29" s="154"/>
      <c r="O29" s="145" t="s">
        <v>415</v>
      </c>
      <c r="P29" s="146"/>
      <c r="Q29" s="146"/>
      <c r="R29" s="146"/>
      <c r="S29" s="147"/>
      <c r="U29" s="154"/>
      <c r="V29" s="121" t="s">
        <v>416</v>
      </c>
      <c r="W29">
        <v>225</v>
      </c>
      <c r="X29" t="s">
        <v>417</v>
      </c>
    </row>
    <row r="30" spans="1:26" x14ac:dyDescent="0.2">
      <c r="A30" s="154"/>
      <c r="B30" s="122" t="s">
        <v>418</v>
      </c>
      <c r="N30" s="154"/>
      <c r="O30" s="121" t="s">
        <v>416</v>
      </c>
      <c r="P30">
        <v>225</v>
      </c>
      <c r="Q30" t="s">
        <v>417</v>
      </c>
      <c r="U30" s="154"/>
      <c r="V30" s="122" t="s">
        <v>418</v>
      </c>
    </row>
    <row r="31" spans="1:26" x14ac:dyDescent="0.2">
      <c r="A31" s="154"/>
      <c r="B31" s="145" t="s">
        <v>419</v>
      </c>
      <c r="C31" s="146"/>
      <c r="D31" s="146"/>
      <c r="E31" s="146"/>
      <c r="F31" s="147"/>
      <c r="N31" s="154"/>
      <c r="O31" s="122" t="s">
        <v>418</v>
      </c>
      <c r="U31" s="154"/>
      <c r="V31" s="145" t="s">
        <v>419</v>
      </c>
      <c r="W31" s="146"/>
      <c r="X31" s="146"/>
      <c r="Y31" s="146"/>
      <c r="Z31" s="147"/>
    </row>
    <row r="32" spans="1:26" x14ac:dyDescent="0.2">
      <c r="A32" s="154"/>
      <c r="B32" s="121" t="s">
        <v>401</v>
      </c>
      <c r="C32" s="64">
        <f>C7</f>
        <v>73300000000</v>
      </c>
      <c r="D32" t="s">
        <v>402</v>
      </c>
      <c r="N32" s="154"/>
      <c r="O32" s="145" t="s">
        <v>419</v>
      </c>
      <c r="P32" s="146"/>
      <c r="Q32" s="146"/>
      <c r="R32" s="146"/>
      <c r="S32" s="147"/>
      <c r="U32" s="154"/>
      <c r="V32" s="121" t="s">
        <v>401</v>
      </c>
      <c r="W32" s="64">
        <v>93491227793.561203</v>
      </c>
      <c r="X32" t="s">
        <v>402</v>
      </c>
    </row>
    <row r="33" spans="1:27" x14ac:dyDescent="0.2">
      <c r="A33" s="154"/>
      <c r="B33" s="122" t="s">
        <v>420</v>
      </c>
      <c r="N33" s="154"/>
      <c r="O33" s="121" t="s">
        <v>401</v>
      </c>
      <c r="P33" s="64">
        <f>P8</f>
        <v>62020000000</v>
      </c>
      <c r="Q33" t="s">
        <v>402</v>
      </c>
      <c r="U33" s="154"/>
      <c r="V33" s="122" t="s">
        <v>420</v>
      </c>
    </row>
    <row r="34" spans="1:27" x14ac:dyDescent="0.2">
      <c r="A34" s="154"/>
      <c r="B34" s="122" t="s">
        <v>227</v>
      </c>
      <c r="N34" s="154"/>
      <c r="O34" s="122" t="s">
        <v>420</v>
      </c>
      <c r="U34" s="154"/>
      <c r="V34" s="122" t="s">
        <v>227</v>
      </c>
    </row>
    <row r="35" spans="1:27" x14ac:dyDescent="0.2">
      <c r="A35" s="154"/>
      <c r="B35" s="122" t="s">
        <v>421</v>
      </c>
      <c r="N35" s="154"/>
      <c r="O35" s="122" t="s">
        <v>227</v>
      </c>
      <c r="U35" s="154"/>
      <c r="V35" s="122" t="s">
        <v>421</v>
      </c>
    </row>
    <row r="36" spans="1:27" x14ac:dyDescent="0.2">
      <c r="A36" s="154"/>
      <c r="B36" s="123" t="s">
        <v>422</v>
      </c>
      <c r="N36" s="154"/>
      <c r="O36" s="122" t="s">
        <v>421</v>
      </c>
      <c r="U36" s="154"/>
      <c r="V36" s="123" t="s">
        <v>422</v>
      </c>
    </row>
    <row r="37" spans="1:27" x14ac:dyDescent="0.2">
      <c r="A37" s="154"/>
      <c r="B37" s="142" t="s">
        <v>425</v>
      </c>
      <c r="C37" s="143"/>
      <c r="D37" s="143"/>
      <c r="E37" s="143"/>
      <c r="F37" s="144"/>
      <c r="N37" s="154"/>
      <c r="O37" s="123" t="s">
        <v>422</v>
      </c>
      <c r="U37" s="154"/>
      <c r="V37" s="142" t="s">
        <v>425</v>
      </c>
      <c r="W37" s="143"/>
      <c r="X37" s="143"/>
      <c r="Y37" s="143"/>
      <c r="Z37" s="144"/>
    </row>
    <row r="38" spans="1:27" x14ac:dyDescent="0.2">
      <c r="A38" s="154"/>
      <c r="B38" s="121" t="s">
        <v>426</v>
      </c>
      <c r="C38">
        <f>C39/(C40*C41*C42)</f>
        <v>673.67189760569727</v>
      </c>
      <c r="D38" t="s">
        <v>433</v>
      </c>
      <c r="E38">
        <v>21753.86</v>
      </c>
      <c r="F38" t="s">
        <v>434</v>
      </c>
      <c r="G38" t="s">
        <v>435</v>
      </c>
      <c r="N38" s="154"/>
      <c r="O38" s="142" t="s">
        <v>425</v>
      </c>
      <c r="P38" s="143"/>
      <c r="Q38" s="143"/>
      <c r="R38" s="143"/>
      <c r="S38" s="144"/>
      <c r="U38" s="154"/>
      <c r="V38" s="121" t="s">
        <v>426</v>
      </c>
      <c r="W38">
        <f>W39/(W40*W41*W42)</f>
        <v>775.59400701460243</v>
      </c>
      <c r="X38" t="s">
        <v>433</v>
      </c>
      <c r="Y38">
        <f>W38*10.764</f>
        <v>8348.4938915051807</v>
      </c>
      <c r="Z38" t="s">
        <v>434</v>
      </c>
      <c r="AA38" t="s">
        <v>435</v>
      </c>
    </row>
    <row r="39" spans="1:27" x14ac:dyDescent="0.2">
      <c r="A39" s="154"/>
      <c r="B39" s="122" t="s">
        <v>427</v>
      </c>
      <c r="C39" s="64">
        <f>C32/100/3</f>
        <v>244333333.33333334</v>
      </c>
      <c r="D39" t="s">
        <v>431</v>
      </c>
      <c r="N39" s="154"/>
      <c r="O39" s="121" t="s">
        <v>426</v>
      </c>
      <c r="P39">
        <f>P40/(P41*P42*P43)</f>
        <v>1167.7155391561719</v>
      </c>
      <c r="Q39" t="s">
        <v>433</v>
      </c>
      <c r="R39">
        <f>P39*10.764</f>
        <v>12569.290063477034</v>
      </c>
      <c r="S39" t="s">
        <v>434</v>
      </c>
      <c r="T39" t="s">
        <v>435</v>
      </c>
      <c r="U39" s="154"/>
      <c r="V39" s="122" t="s">
        <v>427</v>
      </c>
      <c r="W39" s="64">
        <f>W32/100/3</f>
        <v>311637425.97853738</v>
      </c>
      <c r="X39" t="s">
        <v>431</v>
      </c>
    </row>
    <row r="40" spans="1:27" x14ac:dyDescent="0.2">
      <c r="A40" s="154"/>
      <c r="B40" s="122" t="s">
        <v>428</v>
      </c>
      <c r="C40">
        <f>C26</f>
        <v>0.87</v>
      </c>
      <c r="N40" s="154"/>
      <c r="O40" s="122" t="s">
        <v>427</v>
      </c>
      <c r="P40" s="64">
        <f>P33/100/3</f>
        <v>206733333.33333334</v>
      </c>
      <c r="Q40" t="s">
        <v>431</v>
      </c>
      <c r="U40" s="154"/>
      <c r="V40" s="122" t="s">
        <v>428</v>
      </c>
      <c r="W40">
        <f>W26</f>
        <v>0.99</v>
      </c>
    </row>
    <row r="41" spans="1:27" x14ac:dyDescent="0.2">
      <c r="A41" s="154"/>
      <c r="B41" s="122" t="s">
        <v>411</v>
      </c>
      <c r="C41">
        <f>C12</f>
        <v>326.3</v>
      </c>
      <c r="D41" t="s">
        <v>371</v>
      </c>
      <c r="N41" s="154"/>
      <c r="O41" s="122" t="s">
        <v>428</v>
      </c>
      <c r="P41">
        <f>P27</f>
        <v>0.98</v>
      </c>
      <c r="U41" s="154"/>
      <c r="V41" s="122" t="s">
        <v>411</v>
      </c>
      <c r="W41">
        <f>W21</f>
        <v>317.67424529591955</v>
      </c>
      <c r="X41" t="s">
        <v>371</v>
      </c>
    </row>
    <row r="42" spans="1:27" x14ac:dyDescent="0.2">
      <c r="A42" s="154"/>
      <c r="B42" s="122" t="s">
        <v>430</v>
      </c>
      <c r="C42">
        <v>1277.6089999999999</v>
      </c>
      <c r="D42" t="s">
        <v>432</v>
      </c>
      <c r="N42" s="154"/>
      <c r="O42" s="122" t="s">
        <v>411</v>
      </c>
      <c r="P42">
        <f>P13</f>
        <v>141.4</v>
      </c>
      <c r="Q42" t="s">
        <v>371</v>
      </c>
      <c r="U42" s="154"/>
      <c r="V42" s="122" t="s">
        <v>430</v>
      </c>
      <c r="W42">
        <v>1277.6089999999999</v>
      </c>
      <c r="X42" t="s">
        <v>432</v>
      </c>
    </row>
    <row r="43" spans="1:27" x14ac:dyDescent="0.2">
      <c r="A43" s="154"/>
      <c r="B43" s="122" t="s">
        <v>438</v>
      </c>
      <c r="C43">
        <f>E38/3</f>
        <v>7251.2866666666669</v>
      </c>
      <c r="N43" s="154"/>
      <c r="O43" s="122" t="s">
        <v>430</v>
      </c>
      <c r="P43">
        <v>1277.6089999999999</v>
      </c>
      <c r="Q43" t="s">
        <v>432</v>
      </c>
      <c r="U43" s="154"/>
      <c r="V43" s="122" t="s">
        <v>438</v>
      </c>
      <c r="W43">
        <f>Y38/2</f>
        <v>4174.2469457525904</v>
      </c>
    </row>
    <row r="44" spans="1:27" x14ac:dyDescent="0.2">
      <c r="A44" s="154"/>
      <c r="B44" s="122" t="s">
        <v>436</v>
      </c>
      <c r="C44">
        <v>3</v>
      </c>
      <c r="D44" t="s">
        <v>437</v>
      </c>
      <c r="N44" s="154"/>
      <c r="O44" s="122" t="s">
        <v>438</v>
      </c>
      <c r="P44">
        <f>R39/2</f>
        <v>6284.645031738517</v>
      </c>
      <c r="Q44" t="s">
        <v>464</v>
      </c>
      <c r="U44" s="154"/>
      <c r="V44" s="122" t="s">
        <v>436</v>
      </c>
      <c r="W44">
        <v>2</v>
      </c>
      <c r="X44" t="s">
        <v>437</v>
      </c>
    </row>
    <row r="45" spans="1:27" x14ac:dyDescent="0.2">
      <c r="B45" s="145" t="s">
        <v>447</v>
      </c>
      <c r="C45" s="146"/>
      <c r="D45" s="146"/>
      <c r="E45" s="146"/>
      <c r="F45" s="147"/>
      <c r="N45" s="154"/>
      <c r="O45" s="122" t="s">
        <v>436</v>
      </c>
      <c r="P45">
        <v>2</v>
      </c>
      <c r="Q45" t="s">
        <v>437</v>
      </c>
      <c r="V45" s="145" t="s">
        <v>447</v>
      </c>
      <c r="W45" s="146"/>
      <c r="X45" s="146"/>
      <c r="Y45" s="146"/>
      <c r="Z45" s="147"/>
    </row>
    <row r="46" spans="1:27" x14ac:dyDescent="0.2">
      <c r="B46" s="113" t="s">
        <v>440</v>
      </c>
      <c r="C46">
        <f>C39/(C49*C51*(C3-D3))</f>
        <v>17336.795398186121</v>
      </c>
      <c r="D46" t="s">
        <v>232</v>
      </c>
      <c r="E46">
        <f>C46*35</f>
        <v>606787.83893651422</v>
      </c>
      <c r="O46" s="145" t="s">
        <v>447</v>
      </c>
      <c r="P46" s="146"/>
      <c r="Q46" s="146"/>
      <c r="R46" s="146"/>
      <c r="S46" s="147"/>
      <c r="V46" s="113" t="s">
        <v>440</v>
      </c>
      <c r="W46">
        <f>W39/(W49*W51*(W3-X3))</f>
        <v>16754.081758524331</v>
      </c>
      <c r="X46" t="s">
        <v>232</v>
      </c>
      <c r="Y46">
        <f>W46*35</f>
        <v>586392.86154835159</v>
      </c>
    </row>
    <row r="47" spans="1:27" x14ac:dyDescent="0.2">
      <c r="B47" s="113" t="s">
        <v>441</v>
      </c>
      <c r="C47">
        <f>C39/(C48*C50*(F3-E3))</f>
        <v>3484.9321612550852</v>
      </c>
      <c r="D47" t="s">
        <v>232</v>
      </c>
      <c r="E47">
        <f>C47*35</f>
        <v>121972.62564392798</v>
      </c>
      <c r="O47" s="113" t="s">
        <v>440</v>
      </c>
      <c r="P47">
        <f>P40/(P50*P52*(R4-P4))</f>
        <v>24220.087824836748</v>
      </c>
      <c r="Q47" t="s">
        <v>232</v>
      </c>
      <c r="R47">
        <f>P47*35</f>
        <v>847703.07386928622</v>
      </c>
      <c r="S47" t="s">
        <v>465</v>
      </c>
      <c r="V47" s="113" t="s">
        <v>441</v>
      </c>
      <c r="W47">
        <f>W39/(W48*W50*(Z3-Y3))</f>
        <v>14223.654528043953</v>
      </c>
      <c r="X47" t="s">
        <v>232</v>
      </c>
      <c r="Y47">
        <f>W47*35</f>
        <v>497827.90848153835</v>
      </c>
    </row>
    <row r="48" spans="1:27" x14ac:dyDescent="0.2">
      <c r="B48" s="113" t="s">
        <v>442</v>
      </c>
      <c r="C48">
        <f>AVERAGE(1002,989.8)</f>
        <v>995.9</v>
      </c>
      <c r="D48" t="s">
        <v>156</v>
      </c>
      <c r="O48" s="113" t="s">
        <v>441</v>
      </c>
      <c r="P48">
        <f>P40/(P49*P51*(R4-S4))</f>
        <v>1403.9493317331414</v>
      </c>
      <c r="Q48" t="s">
        <v>232</v>
      </c>
      <c r="R48">
        <f>P48*35</f>
        <v>49138.226610659949</v>
      </c>
      <c r="S48" t="s">
        <v>465</v>
      </c>
      <c r="V48" s="113" t="s">
        <v>442</v>
      </c>
      <c r="W48">
        <f>AVERAGE(1002,989.8)</f>
        <v>995.9</v>
      </c>
      <c r="X48" t="s">
        <v>156</v>
      </c>
    </row>
    <row r="49" spans="2:27" x14ac:dyDescent="0.2">
      <c r="B49" s="113" t="s">
        <v>443</v>
      </c>
      <c r="C49">
        <f>AVERAGE(20.76,28.72)</f>
        <v>24.740000000000002</v>
      </c>
      <c r="D49" t="s">
        <v>156</v>
      </c>
      <c r="O49" s="113" t="s">
        <v>442</v>
      </c>
      <c r="P49">
        <f>AVERAGE(879.6,3.069)</f>
        <v>441.33449999999999</v>
      </c>
      <c r="Q49" t="s">
        <v>156</v>
      </c>
      <c r="V49" s="113" t="s">
        <v>443</v>
      </c>
      <c r="W49">
        <f>AVERAGE(20.76,28.72)</f>
        <v>24.740000000000002</v>
      </c>
      <c r="X49" t="s">
        <v>156</v>
      </c>
    </row>
    <row r="50" spans="2:27" x14ac:dyDescent="0.2">
      <c r="B50" s="113" t="s">
        <v>444</v>
      </c>
      <c r="C50">
        <v>4.4000000000000004</v>
      </c>
      <c r="D50" t="s">
        <v>446</v>
      </c>
      <c r="O50" s="113" t="s">
        <v>443</v>
      </c>
      <c r="P50">
        <f>AVERAGE(13.03,9.973)</f>
        <v>11.5015</v>
      </c>
      <c r="Q50" t="s">
        <v>156</v>
      </c>
      <c r="V50" s="113" t="s">
        <v>444</v>
      </c>
      <c r="W50">
        <v>4.4000000000000004</v>
      </c>
      <c r="X50" t="s">
        <v>446</v>
      </c>
    </row>
    <row r="51" spans="2:27" x14ac:dyDescent="0.2">
      <c r="B51" s="113" t="s">
        <v>445</v>
      </c>
      <c r="C51">
        <f>AVERAGE(2.747,2.668)</f>
        <v>2.7075</v>
      </c>
      <c r="D51" t="s">
        <v>446</v>
      </c>
      <c r="O51" s="113" t="s">
        <v>444</v>
      </c>
      <c r="P51">
        <f>AVERAGE(2.066,1.937)</f>
        <v>2.0015000000000001</v>
      </c>
      <c r="Q51" t="s">
        <v>446</v>
      </c>
      <c r="V51" s="113" t="s">
        <v>445</v>
      </c>
      <c r="W51">
        <f>AVERAGE(2.747,2.668)</f>
        <v>2.7075</v>
      </c>
      <c r="X51" t="s">
        <v>446</v>
      </c>
    </row>
    <row r="52" spans="2:27" x14ac:dyDescent="0.2">
      <c r="B52" s="145" t="s">
        <v>439</v>
      </c>
      <c r="C52" s="146"/>
      <c r="D52" s="146"/>
      <c r="E52" s="146"/>
      <c r="F52" s="147"/>
      <c r="O52" s="113" t="s">
        <v>445</v>
      </c>
      <c r="P52">
        <f>AVERAGE(2.862,2.617)</f>
        <v>2.7395</v>
      </c>
      <c r="Q52" t="s">
        <v>446</v>
      </c>
      <c r="V52" s="145" t="s">
        <v>439</v>
      </c>
      <c r="W52" s="146"/>
      <c r="X52" s="146"/>
      <c r="Y52" s="146"/>
      <c r="Z52" s="147"/>
    </row>
    <row r="53" spans="2:27" x14ac:dyDescent="0.2">
      <c r="B53" s="113" t="s">
        <v>452</v>
      </c>
      <c r="C53">
        <v>0.75</v>
      </c>
      <c r="D53" t="s">
        <v>361</v>
      </c>
      <c r="O53" s="145" t="s">
        <v>439</v>
      </c>
      <c r="P53" s="146"/>
      <c r="Q53" s="146"/>
      <c r="R53" s="146"/>
      <c r="S53" s="147"/>
      <c r="V53" s="113" t="s">
        <v>452</v>
      </c>
      <c r="W53">
        <v>0.75</v>
      </c>
      <c r="X53" t="s">
        <v>361</v>
      </c>
    </row>
    <row r="54" spans="2:27" x14ac:dyDescent="0.2">
      <c r="B54" s="113" t="s">
        <v>453</v>
      </c>
      <c r="C54">
        <f>0.182/12</f>
        <v>1.5166666666666667E-2</v>
      </c>
      <c r="D54" t="s">
        <v>466</v>
      </c>
      <c r="O54" s="113" t="s">
        <v>452</v>
      </c>
      <c r="P54">
        <v>0.75</v>
      </c>
      <c r="Q54" t="s">
        <v>361</v>
      </c>
      <c r="V54" s="113" t="s">
        <v>453</v>
      </c>
      <c r="W54">
        <f>0.182/12</f>
        <v>1.5166666666666667E-2</v>
      </c>
      <c r="X54" t="s">
        <v>466</v>
      </c>
    </row>
    <row r="55" spans="2:27" x14ac:dyDescent="0.2">
      <c r="B55" s="113" t="s">
        <v>454</v>
      </c>
      <c r="C55">
        <v>20</v>
      </c>
      <c r="D55" t="s">
        <v>450</v>
      </c>
      <c r="O55" s="113" t="s">
        <v>453</v>
      </c>
      <c r="P55">
        <f>0.182/12</f>
        <v>1.5166666666666667E-2</v>
      </c>
      <c r="Q55" t="s">
        <v>450</v>
      </c>
      <c r="S55">
        <v>2</v>
      </c>
      <c r="V55" s="113" t="s">
        <v>454</v>
      </c>
      <c r="W55">
        <v>16</v>
      </c>
      <c r="X55" t="s">
        <v>450</v>
      </c>
    </row>
    <row r="56" spans="2:27" x14ac:dyDescent="0.2">
      <c r="B56" s="113" t="s">
        <v>455</v>
      </c>
      <c r="C56">
        <f>PI()*C57*C55</f>
        <v>2.5237460983837998</v>
      </c>
      <c r="D56" t="s">
        <v>434</v>
      </c>
      <c r="O56" s="113" t="s">
        <v>454</v>
      </c>
      <c r="P56">
        <v>20</v>
      </c>
      <c r="Q56" t="s">
        <v>450</v>
      </c>
      <c r="V56" s="113" t="s">
        <v>455</v>
      </c>
      <c r="W56">
        <f>PI()*W57*W55</f>
        <v>2.01899687870704</v>
      </c>
      <c r="X56" t="s">
        <v>434</v>
      </c>
    </row>
    <row r="57" spans="2:27" x14ac:dyDescent="0.2">
      <c r="B57" s="113" t="s">
        <v>449</v>
      </c>
      <c r="C57">
        <f>0.482/12</f>
        <v>4.0166666666666663E-2</v>
      </c>
      <c r="D57" t="s">
        <v>244</v>
      </c>
      <c r="G57" t="s">
        <v>451</v>
      </c>
      <c r="O57" s="113" t="s">
        <v>455</v>
      </c>
      <c r="P57">
        <f>PI()*P58*P56</f>
        <v>2.5237460983837998</v>
      </c>
      <c r="Q57" t="s">
        <v>434</v>
      </c>
      <c r="V57" s="113" t="s">
        <v>449</v>
      </c>
      <c r="W57">
        <f>0.482/12</f>
        <v>4.0166666666666663E-2</v>
      </c>
      <c r="X57" t="s">
        <v>244</v>
      </c>
      <c r="AA57" t="s">
        <v>451</v>
      </c>
    </row>
    <row r="58" spans="2:27" x14ac:dyDescent="0.2">
      <c r="B58" s="113" t="s">
        <v>456</v>
      </c>
      <c r="C58">
        <f>C43/C56/8</f>
        <v>359.15294090550407</v>
      </c>
      <c r="O58" s="113" t="s">
        <v>449</v>
      </c>
      <c r="P58">
        <f>0.482/12</f>
        <v>4.0166666666666663E-2</v>
      </c>
      <c r="Q58" t="s">
        <v>244</v>
      </c>
      <c r="T58" t="s">
        <v>451</v>
      </c>
      <c r="V58" s="113" t="s">
        <v>456</v>
      </c>
      <c r="W58">
        <f>W43/W56/8</f>
        <v>258.43569830242672</v>
      </c>
    </row>
    <row r="59" spans="2:27" x14ac:dyDescent="0.2">
      <c r="B59" s="113" t="s">
        <v>457</v>
      </c>
      <c r="C59">
        <f>E46/C54/C58/3600</f>
        <v>30.943169657565591</v>
      </c>
      <c r="D59" t="s">
        <v>379</v>
      </c>
      <c r="E59" t="s">
        <v>448</v>
      </c>
      <c r="O59" s="113" t="s">
        <v>456</v>
      </c>
      <c r="P59">
        <f>P44/P57/8</f>
        <v>311.27561899764731</v>
      </c>
      <c r="V59" s="113" t="s">
        <v>457</v>
      </c>
      <c r="W59">
        <f>Y46/W54/W58/3600</f>
        <v>41.556936869016177</v>
      </c>
      <c r="X59" t="s">
        <v>379</v>
      </c>
      <c r="Y59" t="s">
        <v>448</v>
      </c>
    </row>
    <row r="60" spans="2:27" x14ac:dyDescent="0.2">
      <c r="B60" s="113" t="s">
        <v>458</v>
      </c>
      <c r="C60">
        <v>1</v>
      </c>
      <c r="D60" t="s">
        <v>361</v>
      </c>
      <c r="O60" s="113" t="s">
        <v>457</v>
      </c>
      <c r="P60">
        <f>R47/P55/P59/3600</f>
        <v>49.877653038192648</v>
      </c>
      <c r="Q60" t="s">
        <v>379</v>
      </c>
      <c r="R60" t="s">
        <v>448</v>
      </c>
      <c r="V60" s="113" t="s">
        <v>458</v>
      </c>
      <c r="W60">
        <v>1</v>
      </c>
      <c r="X60" t="s">
        <v>361</v>
      </c>
    </row>
    <row r="61" spans="2:27" x14ac:dyDescent="0.2">
      <c r="B61" s="113" t="s">
        <v>459</v>
      </c>
      <c r="C61">
        <v>1</v>
      </c>
      <c r="D61" t="s">
        <v>244</v>
      </c>
      <c r="O61" s="113" t="s">
        <v>458</v>
      </c>
      <c r="P61">
        <v>1</v>
      </c>
      <c r="Q61" t="s">
        <v>361</v>
      </c>
      <c r="V61" s="113" t="s">
        <v>459</v>
      </c>
      <c r="W61">
        <v>1</v>
      </c>
      <c r="X61" t="s">
        <v>244</v>
      </c>
    </row>
    <row r="62" spans="2:27" x14ac:dyDescent="0.2">
      <c r="B62" s="113"/>
      <c r="O62" s="113" t="s">
        <v>459</v>
      </c>
      <c r="P62">
        <v>1</v>
      </c>
      <c r="Q62" t="s">
        <v>244</v>
      </c>
      <c r="V62" s="113"/>
    </row>
    <row r="63" spans="2:27" x14ac:dyDescent="0.2">
      <c r="B63" s="113"/>
      <c r="O63" s="113"/>
      <c r="V63" s="113"/>
    </row>
    <row r="64" spans="2:27" x14ac:dyDescent="0.2">
      <c r="B64" s="113"/>
      <c r="O64" s="113"/>
      <c r="V64" s="113"/>
    </row>
    <row r="65" spans="15:15" x14ac:dyDescent="0.2">
      <c r="O65" s="113"/>
    </row>
  </sheetData>
  <mergeCells count="24">
    <mergeCell ref="O53:S53"/>
    <mergeCell ref="N8:N17"/>
    <mergeCell ref="N19:N45"/>
    <mergeCell ref="O19:S19"/>
    <mergeCell ref="O29:S29"/>
    <mergeCell ref="O32:S32"/>
    <mergeCell ref="O38:S38"/>
    <mergeCell ref="U7:U16"/>
    <mergeCell ref="U18:U44"/>
    <mergeCell ref="V18:Z18"/>
    <mergeCell ref="V28:Z28"/>
    <mergeCell ref="V31:Z31"/>
    <mergeCell ref="A7:A16"/>
    <mergeCell ref="B18:F18"/>
    <mergeCell ref="B28:F28"/>
    <mergeCell ref="B31:F31"/>
    <mergeCell ref="B37:F37"/>
    <mergeCell ref="A18:A44"/>
    <mergeCell ref="V37:Z37"/>
    <mergeCell ref="V45:Z45"/>
    <mergeCell ref="V52:Z52"/>
    <mergeCell ref="B52:F52"/>
    <mergeCell ref="B45:F45"/>
    <mergeCell ref="O46:S46"/>
  </mergeCells>
  <pageMargins left="0.7" right="0.7" top="0.75" bottom="0.75" header="0.3" footer="0.3"/>
  <pageSetup scale="30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Material Balances</vt:lpstr>
      <vt:lpstr>Column</vt:lpstr>
      <vt:lpstr>Pumps</vt:lpstr>
      <vt:lpstr>HX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Teeb Alnaji</dc:creator>
  <cp:lastModifiedBy>Microsoft Office User</cp:lastModifiedBy>
  <cp:lastPrinted>2022-12-09T01:56:52Z</cp:lastPrinted>
  <dcterms:created xsi:type="dcterms:W3CDTF">2022-11-05T00:43:25Z</dcterms:created>
  <dcterms:modified xsi:type="dcterms:W3CDTF">2022-12-09T01:57:03Z</dcterms:modified>
</cp:coreProperties>
</file>